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1"/>
  <workbookPr codeName="ThisWorkbook" defaultThemeVersion="124226"/>
  <mc:AlternateContent xmlns:mc="http://schemas.openxmlformats.org/markup-compatibility/2006">
    <mc:Choice Requires="x15">
      <x15ac:absPath xmlns:x15ac="http://schemas.microsoft.com/office/spreadsheetml/2010/11/ac" url="/Users/mikon/Desktop/"/>
    </mc:Choice>
  </mc:AlternateContent>
  <xr:revisionPtr revIDLastSave="0" documentId="8_{21AE0DE4-2896-D745-AFB9-438F26DC9D23}" xr6:coauthVersionLast="47" xr6:coauthVersionMax="47" xr10:uidLastSave="{00000000-0000-0000-0000-000000000000}"/>
  <bookViews>
    <workbookView xWindow="0" yWindow="660" windowWidth="30240" windowHeight="17680" firstSheet="2" activeTab="2" xr2:uid="{00000000-000D-0000-FFFF-FFFF00000000}"/>
  </bookViews>
  <sheets>
    <sheet name="Intro" sheetId="1" r:id="rId1"/>
    <sheet name="Definitions" sheetId="3" r:id="rId2"/>
    <sheet name="Entrants" sheetId="11" r:id="rId3"/>
    <sheet name="Stocks" sheetId="2" r:id="rId4"/>
    <sheet name="Exits" sheetId="10" r:id="rId5"/>
    <sheet name="Follow-up T" sheetId="14" r:id="rId6"/>
    <sheet name="Follow-up T-1" sheetId="19" r:id="rId7"/>
    <sheet name="Follow-up T-2" sheetId="21" r:id="rId8"/>
    <sheet name="Indicators" sheetId="15" r:id="rId9"/>
    <sheet name="Metadata T" sheetId="22" state="hidden" r:id="rId10"/>
    <sheet name="Metadata T-1" sheetId="23" state="hidden" r:id="rId11"/>
    <sheet name="Refs" sheetId="12" state="hidden" r:id="rId12"/>
  </sheets>
  <definedNames>
    <definedName name="Age15_19">3</definedName>
    <definedName name="Age15_29">2</definedName>
    <definedName name="Age20_24">4</definedName>
    <definedName name="Age25_29">5</definedName>
    <definedName name="Countries">Refs!$C$2:$C$30</definedName>
    <definedName name="Entrants_Men">Entrants!$B$16:$I$20</definedName>
    <definedName name="Entrants_Tot">Entrants!$B$11:$I$15</definedName>
    <definedName name="Entrants_Women">Entrants!$B$21:$I$25</definedName>
    <definedName name="Exits_4m_Men">Exits!$B$34:$N$38</definedName>
    <definedName name="Exits_4m_Tot">Exits!$B$29:$N$33</definedName>
    <definedName name="Exits_4m_Women">Exits!$B$39:$N$43</definedName>
    <definedName name="Exits_Tot_Men">Exits!$B$17:$N$21</definedName>
    <definedName name="Exits_Tot_Tot">Exits!$B$12:$N$16</definedName>
    <definedName name="Exits_Tot_Women">Exits!$B$22:$N$26</definedName>
    <definedName name="FUT_12_Appr_Men">'Follow-up T'!$AL$40:$AU$44</definedName>
    <definedName name="FUT_12_Appr_Tot">'Follow-up T'!$AL$35:$AU$39</definedName>
    <definedName name="FUT_12_Appr_Women">'Follow-up T'!$AL$45:$AU$49</definedName>
    <definedName name="FUT_12_Educ_Men">'Follow-up T'!$Z$40:$AI$44</definedName>
    <definedName name="FUT_12_Educ_Tot">'Follow-up T'!$Z$35:$AI$39</definedName>
    <definedName name="FUT_12_Educ_Women">'Follow-up T'!$Z$45:$AI$49</definedName>
    <definedName name="FUT_12_Emp_Men">'Follow-up T'!$N$40:$W$44</definedName>
    <definedName name="FUT_12_Emp_Tot">'Follow-up T'!$N$35:$W$39</definedName>
    <definedName name="FUT_12_Emp_Women">'Follow-up T'!$N$45:$W$49</definedName>
    <definedName name="FUT_12_Tot_Men">'Follow-up T'!$B$40:$K$44</definedName>
    <definedName name="FUT_12_Tot_Tot">'Follow-up T'!$B$35:$K$39</definedName>
    <definedName name="FUT_12_Tot_Women">'Follow-up T'!$B$45:$K$49</definedName>
    <definedName name="FUT_12_Train_Men">'Follow-up T'!$AX$40:$BG$44</definedName>
    <definedName name="FUT_12_Train_Tot">'Follow-up T'!$AX$35:$BG$39</definedName>
    <definedName name="FUT_12_Train_Women">'Follow-up T'!$AX$45:$BG$49</definedName>
    <definedName name="FUT_18_Appr_Men">'Follow-up T'!$AL$57:$AU$61</definedName>
    <definedName name="FUT_18_Appr_Tot">'Follow-up T'!$AL$52:$AU$56</definedName>
    <definedName name="FUT_18_Appr_Women">'Follow-up T'!$AL$62:$AU$66</definedName>
    <definedName name="FUT_18_Educ_Men">'Follow-up T'!$Z$57:$AI$61</definedName>
    <definedName name="FUT_18_Educ_Tot">'Follow-up T'!$Z$52:$AI$56</definedName>
    <definedName name="FUT_18_Educ_Women">'Follow-up T'!$Z$62:$AI$66</definedName>
    <definedName name="FUT_18_Emp_Men">'Follow-up T'!$N$57:$W$61</definedName>
    <definedName name="FUT_18_Emp_Tot">'Follow-up T'!$N$52:$W$56</definedName>
    <definedName name="FUT_18_Emp_Women">'Follow-up T'!$N$62:$W$66</definedName>
    <definedName name="FUT_18_Tot_Men">'Follow-up T'!$B$57:$K$61</definedName>
    <definedName name="FUT_18_Tot_Tot">'Follow-up T'!$B$52:$K$56</definedName>
    <definedName name="FUT_18_Tot_Women">'Follow-up T'!$B$62:$K$66</definedName>
    <definedName name="FUT_18_Train_Men">'Follow-up T'!$AX$57:$BG$61</definedName>
    <definedName name="FUT_18_Train_Tot">'Follow-up T'!$AX$52:$BG$56</definedName>
    <definedName name="FUT_18_Train_Women">'Follow-up T'!$AX$62:$BG$66</definedName>
    <definedName name="FUT_6_Appr_Men">'Follow-up T'!$AL$23:$AU$27</definedName>
    <definedName name="FUT_6_Appr_Tot">'Follow-up T'!$AL$18:$AU$22</definedName>
    <definedName name="FUT_6_Appr_Women">'Follow-up T'!$AL$28:$AU$32</definedName>
    <definedName name="FUT_6_Educ_Men">'Follow-up T'!$Z$23:$AI$27</definedName>
    <definedName name="FUT_6_Educ_Tot">'Follow-up T'!$Z$18:$AI$22</definedName>
    <definedName name="FUT_6_Educ_Women">'Follow-up T'!$Z$28:$AI$32</definedName>
    <definedName name="FUT_6_Emp_Men">'Follow-up T'!$N$23:$W$27</definedName>
    <definedName name="FUT_6_Emp_Tot">'Follow-up T'!$N$18:$W$22</definedName>
    <definedName name="FUT_6_Emp_Women">'Follow-up T'!$N$28:$W$32</definedName>
    <definedName name="FUT_6_Tot_Men">'Follow-up T'!$B$23:$K$27</definedName>
    <definedName name="FUT_6_Tot_Tot">'Follow-up T'!$B$18:$K$22</definedName>
    <definedName name="FUT_6_Tot_Women">'Follow-up T'!$B$28:$K$32</definedName>
    <definedName name="FUT_6_Train_Men">'Follow-up T'!$AX$23:$BG$27</definedName>
    <definedName name="FUT_6_Train_Tot">'Follow-up T'!$AX$18:$BG$22</definedName>
    <definedName name="FUT_6_Train_Women">'Follow-up T'!$AX$28:$BG$32</definedName>
    <definedName name="FUT1_12_Appr_Men">'Follow-up T-1'!$AL$40:$AU$44</definedName>
    <definedName name="FUT1_12_Appr_Tot">'Follow-up T-1'!$AL$35:$AU$39</definedName>
    <definedName name="FUT1_12_Appr_Women">'Follow-up T-1'!$AL$45:$AU$49</definedName>
    <definedName name="FUT1_12_Educ_Men">'Follow-up T-1'!$Z$40:$AI$44</definedName>
    <definedName name="FUT1_12_Educ_Tot">'Follow-up T-1'!$Z$35:$AI$39</definedName>
    <definedName name="FUT1_12_Educ_Women">'Follow-up T-1'!$Z$45:$AI$49</definedName>
    <definedName name="FUT1_12_Emp_Men">'Follow-up T-1'!$N$40:$W$44</definedName>
    <definedName name="FUT1_12_Emp_Tot">'Follow-up T-1'!$N$35:$W$39</definedName>
    <definedName name="FUT1_12_Emp_Women">'Follow-up T-1'!$N$45:$W$49</definedName>
    <definedName name="FUT1_12_Tot_Men">'Follow-up T-1'!$B$40:$K$44</definedName>
    <definedName name="FUT1_12_Tot_Tot">'Follow-up T-1'!$B$35:$K$39</definedName>
    <definedName name="FUT1_12_Tot_Women">'Follow-up T-1'!$B$45:$K$49</definedName>
    <definedName name="FUT1_12_Train_Men">'Follow-up T-1'!$AX$40:$BG$44</definedName>
    <definedName name="FUT1_12_Train_Tot">'Follow-up T-1'!$AX$35:$BG$39</definedName>
    <definedName name="FUT1_12_Train_Women">'Follow-up T-1'!$AX$45:$BG$49</definedName>
    <definedName name="FUT1_18_Appr_Men">'Follow-up T-1'!$AL$57:$AU$61</definedName>
    <definedName name="FUT1_18_Appr_Tot">'Follow-up T-1'!$AL$52:$AU$56</definedName>
    <definedName name="FUT1_18_Appr_Women">'Follow-up T-1'!$AL$62:$AU$66</definedName>
    <definedName name="FUT1_18_Educ_Men">'Follow-up T-1'!$Z$57:$AI$61</definedName>
    <definedName name="FUT1_18_Educ_Tot">'Follow-up T-1'!$Z$52:$AI$56</definedName>
    <definedName name="FUT1_18_Educ_Women">'Follow-up T-1'!$Z$62:$AI$66</definedName>
    <definedName name="FUT1_18_Emp_Men">'Follow-up T-1'!$N$57:$W$61</definedName>
    <definedName name="FUT1_18_Emp_Tot">'Follow-up T-1'!$N$52:$W$56</definedName>
    <definedName name="FUT1_18_Emp_Women">'Follow-up T-1'!$N$62:$W$66</definedName>
    <definedName name="FUT1_18_Tot_Men">'Follow-up T-1'!$B$57:$K$61</definedName>
    <definedName name="FUT1_18_Tot_Tot">'Follow-up T-1'!$B$52:$K$56</definedName>
    <definedName name="FUT1_18_Tot_Women">'Follow-up T-1'!$B$62:$K$66</definedName>
    <definedName name="FUT1_18_Train_Men">'Follow-up T-1'!$AX$57:$BG$61</definedName>
    <definedName name="FUT1_18_Train_Tot">'Follow-up T-1'!$AX$52:$BG$56</definedName>
    <definedName name="FUT1_18_Train_Women">'Follow-up T-1'!$AX$62:$BG$66</definedName>
    <definedName name="FUT1_6_Appr_Men">'Follow-up T-1'!$AL$23:$AU$27</definedName>
    <definedName name="FUT1_6_Appr_Tot">'Follow-up T-1'!$AL$18:$AU$22</definedName>
    <definedName name="FUT1_6_Appr_Women">'Follow-up T-1'!$AL$28:$AU$32</definedName>
    <definedName name="FUT1_6_Educ_Men">'Follow-up T-1'!$Z$23:$AI$27</definedName>
    <definedName name="FUT1_6_Educ_Tot">'Follow-up T-1'!$Z$18:$AI$22</definedName>
    <definedName name="FUT1_6_Educ_Women">'Follow-up T-1'!$Z$28:$AI$32</definedName>
    <definedName name="FUT1_6_Emp_Men">'Follow-up T-1'!$N$23:$W$27</definedName>
    <definedName name="FUT1_6_Emp_Tot">'Follow-up T-1'!$N$18:$W$22</definedName>
    <definedName name="FUT1_6_Emp_Women">'Follow-up T-1'!$N$28:$W$32</definedName>
    <definedName name="FUT1_6_Tot_Men">'Follow-up T-1'!$B$23:$K$27</definedName>
    <definedName name="FUT1_6_Tot_Tot">'Follow-up T-1'!$B$18:$K$22</definedName>
    <definedName name="FUT1_6_Tot_Women">'Follow-up T-1'!$B$28:$K$32</definedName>
    <definedName name="FUT1_6_Train_Men">'Follow-up T-1'!$AX$23:$BG$27</definedName>
    <definedName name="FUT1_6_Train_Tot">'Follow-up T-1'!$AX$18:$BG$22</definedName>
    <definedName name="FUT1_6_Train_Women">'Follow-up T-1'!$AX$28:$BG$32</definedName>
    <definedName name="FUT2_12_Appr_Men">'Follow-up T-2'!$AL$40:$AU$44</definedName>
    <definedName name="FUT2_12_Appr_Tot">'Follow-up T-2'!$AL$35:$AU$39</definedName>
    <definedName name="FUT2_12_Appr_Women">'Follow-up T-2'!$AL$45:$AU$49</definedName>
    <definedName name="FUT2_12_Educ_Men">'Follow-up T-2'!$Z$40:$AI$44</definedName>
    <definedName name="FUT2_12_Educ_Tot">'Follow-up T-2'!$Z$35:$AI$39</definedName>
    <definedName name="FUT2_12_Educ_Women">'Follow-up T-2'!$Z$45:$AI$49</definedName>
    <definedName name="FUT2_12_Emp_Men">'Follow-up T-2'!$N$40:$W$44</definedName>
    <definedName name="FUT2_12_Emp_Tot">'Follow-up T-2'!$N$35:$W$39</definedName>
    <definedName name="FUT2_12_Emp_Women">'Follow-up T-2'!$N$45:$W$49</definedName>
    <definedName name="FUT2_12_Tot_Men">'Follow-up T-2'!$B$40:$K$44</definedName>
    <definedName name="FUT2_12_Tot_Tot">'Follow-up T-2'!$B$35:$K$39</definedName>
    <definedName name="FUT2_12_Tot_Women">'Follow-up T-2'!$B$45:$K$49</definedName>
    <definedName name="FUT2_12_Train_Men">'Follow-up T-2'!$AX$40:$BG$44</definedName>
    <definedName name="FUT2_12_Train_Tot">'Follow-up T-2'!$AX$35:$BG$39</definedName>
    <definedName name="FUT2_12_Train_Women">'Follow-up T-2'!$AX$45:$BG$49</definedName>
    <definedName name="FUT2_18_Appr_Men">'Follow-up T-2'!$AL$57:$AU$61</definedName>
    <definedName name="FUT2_18_Appr_Tot">'Follow-up T-2'!$AL$52:$AU$56</definedName>
    <definedName name="FUT2_18_Appr_Women">'Follow-up T-2'!$AL$62:$AU$66</definedName>
    <definedName name="FUT2_18_Educ_Men">'Follow-up T-2'!$Z$57:$AI$61</definedName>
    <definedName name="FUT2_18_Educ_Tot">'Follow-up T-2'!$Z$52:$AI$56</definedName>
    <definedName name="FUT2_18_Educ_Women">'Follow-up T-2'!$Z$62:$AI$66</definedName>
    <definedName name="FUT2_18_Emp_Men">'Follow-up T-2'!$N$57:$W$61</definedName>
    <definedName name="FUT2_18_Emp_Tot">'Follow-up T-2'!$N$52:$W$56</definedName>
    <definedName name="FUT2_18_Emp_Women">'Follow-up T-2'!$N$62:$W$66</definedName>
    <definedName name="FUT2_18_Tot_Men">'Follow-up T-2'!$B$57:$K$61</definedName>
    <definedName name="FUT2_18_Tot_Tot">'Follow-up T-2'!$B$52:$K$56</definedName>
    <definedName name="FUT2_18_Tot_Women">'Follow-up T-2'!$B$62:$K$66</definedName>
    <definedName name="FUT2_18_Train_Men">'Follow-up T-2'!$AX$57:$BG$61</definedName>
    <definedName name="FUT2_18_Train_Tot">'Follow-up T-2'!$AX$52:$BG$56</definedName>
    <definedName name="FUT2_18_Train_Women">'Follow-up T-2'!$AX$62:$BG$66</definedName>
    <definedName name="FUT2_6_Appr_Men">'Follow-up T-2'!$AL$23:$AU$27</definedName>
    <definedName name="FUT2_6_Appr_Tot">'Follow-up T-2'!$AL$18:$AU$22</definedName>
    <definedName name="FUT2_6_Appr_Women">'Follow-up T-2'!$AL$28:$AU$32</definedName>
    <definedName name="FUT2_6_Educ_Men">'Follow-up T-2'!$Z$23:$AI$27</definedName>
    <definedName name="FUT2_6_Educ_Tot">'Follow-up T-2'!$Z$18:$AI$22</definedName>
    <definedName name="FUT2_6_Educ_Women">'Follow-up T-2'!$Z$28:$AI$32</definedName>
    <definedName name="FUT2_6_Emp_Men">'Follow-up T-2'!$N$23:$W$27</definedName>
    <definedName name="FUT2_6_Emp_Tot">'Follow-up T-2'!$N$18:$W$22</definedName>
    <definedName name="FUT2_6_Emp_Women">'Follow-up T-2'!$N$28:$W$32</definedName>
    <definedName name="FUT2_6_Tot_Men">'Follow-up T-2'!$B$23:$K$27</definedName>
    <definedName name="FUT2_6_Tot_Tot">'Follow-up T-2'!$B$18:$K$22</definedName>
    <definedName name="FUT2_6_Tot_Women">'Follow-up T-2'!$B$28:$K$32</definedName>
    <definedName name="FUT2_6_Train_Men">'Follow-up T-2'!$AX$23:$BG$27</definedName>
    <definedName name="FUT2_6_Train_Tot">'Follow-up T-2'!$AX$18:$BG$22</definedName>
    <definedName name="FUT2_6_Train_Women">'Follow-up T-2'!$AX$28:$BG$32</definedName>
    <definedName name="Metadata_Q1">#REF!</definedName>
    <definedName name="Metadata_Q2i">#REF!</definedName>
    <definedName name="Metadata_Q2ii">#REF!</definedName>
    <definedName name="Metadata_Q2iii">#REF!</definedName>
    <definedName name="Metadata_Q3i">#REF!</definedName>
    <definedName name="Metadata_Q3ii">#REF!</definedName>
    <definedName name="Metadata_Q4ia">#REF!</definedName>
    <definedName name="Metadata_Q4ib">#REF!</definedName>
    <definedName name="Metadata_Q4ic">#REF!</definedName>
    <definedName name="Metadata_Q4iia">#REF!</definedName>
    <definedName name="Metadata_Q4iib">#REF!</definedName>
    <definedName name="Metadata_Q4iic">#REF!</definedName>
    <definedName name="Metadata_Q4iiia">#REF!</definedName>
    <definedName name="Metadata_Q4iiib">#REF!</definedName>
    <definedName name="Metadata_Q4iiic">#REF!</definedName>
    <definedName name="Metadata_Q4iva">#REF!</definedName>
    <definedName name="Metadata_Q4ivb">#REF!</definedName>
    <definedName name="Metadata_Q4ivc">#REF!</definedName>
    <definedName name="Metadata_Q5">#REF!</definedName>
    <definedName name="Metadata_Q6i">#REF!</definedName>
    <definedName name="Metadata_Q6ii">#REF!</definedName>
    <definedName name="Metadata_Q6iii">#REF!</definedName>
    <definedName name="Metadata_Q6iiia">#REF!</definedName>
    <definedName name="Metadata_Q6iiib">#REF!</definedName>
    <definedName name="Metadata_Q6iiic">#REF!</definedName>
    <definedName name="Metadata_Q6iv">#REF!</definedName>
    <definedName name="Metadata_Q6v">#REF!</definedName>
    <definedName name="Metadata_Q6vi">#REF!</definedName>
    <definedName name="Metadata_Q6via">#REF!</definedName>
    <definedName name="Metadata_Q6vib">#REF!</definedName>
    <definedName name="Metadata_Q6vii">#REF!</definedName>
    <definedName name="Metadata_Q7">#REF!</definedName>
    <definedName name="Metadata_T1">'Metadata T-1'!$A$1:$Y$26</definedName>
    <definedName name="Months">Refs!$A$2:$A$14</definedName>
    <definedName name="_xlnm.Print_Area" localSheetId="1">Definitions!$A:$N</definedName>
    <definedName name="_xlnm.Print_Area" localSheetId="5">'Follow-up T'!$A$1:$BG$66</definedName>
    <definedName name="_xlnm.Print_Area" localSheetId="8">Indicators!$A:$K</definedName>
    <definedName name="_xlnm.Print_Area" localSheetId="3">Stocks!$A:$G</definedName>
    <definedName name="RefYear_FUT">#REF!</definedName>
    <definedName name="RefYear_FUT_1">#REF!</definedName>
    <definedName name="RefYear_FUT_2">#REF!</definedName>
    <definedName name="RefYear_Main">#REF!</definedName>
    <definedName name="SexMen">3</definedName>
    <definedName name="SexTotal">2</definedName>
    <definedName name="SexWomen">4</definedName>
    <definedName name="Stock_Men">Stocks!$B$14:$G$18</definedName>
    <definedName name="Stock_Total">Stocks!$B$9:$G$13</definedName>
    <definedName name="Stock_Women">Stocks!$B$19:$G$23</definedName>
    <definedName name="Years">Refs!$D$2:$D$8</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A45" i="14" l="1"/>
  <c r="BC45" i="14"/>
  <c r="BD45" i="14"/>
  <c r="BA23" i="14"/>
  <c r="BC23" i="14"/>
  <c r="BD23" i="14"/>
  <c r="BA28" i="14"/>
  <c r="BC28" i="14"/>
  <c r="BD28" i="14"/>
  <c r="BG23" i="14"/>
  <c r="BG28" i="14"/>
  <c r="BG34" i="14"/>
  <c r="BG35" i="14"/>
  <c r="BG40" i="14"/>
  <c r="BG45" i="14"/>
  <c r="BG51" i="14"/>
  <c r="BG52" i="14"/>
  <c r="BG57" i="14"/>
  <c r="BG62" i="14"/>
  <c r="BD62" i="14"/>
  <c r="BC62" i="14"/>
  <c r="BD57" i="14"/>
  <c r="BC57" i="14"/>
  <c r="BD52" i="14"/>
  <c r="BC52" i="14"/>
  <c r="BD51" i="14"/>
  <c r="BC51" i="14"/>
  <c r="BD40" i="14"/>
  <c r="BC40" i="14"/>
  <c r="BD35" i="14"/>
  <c r="BC35" i="14"/>
  <c r="BD34" i="14"/>
  <c r="BC34" i="14"/>
  <c r="BA62" i="14"/>
  <c r="BA57" i="14"/>
  <c r="BA52" i="14"/>
  <c r="BA51" i="14"/>
  <c r="BA40" i="14"/>
  <c r="BA35" i="14"/>
  <c r="BA34" i="14"/>
  <c r="AO62" i="14"/>
  <c r="AN62" i="14"/>
  <c r="AO57" i="14"/>
  <c r="AN57" i="14"/>
  <c r="AO52" i="14"/>
  <c r="AN52" i="14"/>
  <c r="AO51" i="14"/>
  <c r="AN51" i="14"/>
  <c r="AO45" i="14"/>
  <c r="AN45" i="14"/>
  <c r="AO40" i="14"/>
  <c r="AN40" i="14"/>
  <c r="AO35" i="14"/>
  <c r="AN35" i="14"/>
  <c r="AO34" i="14"/>
  <c r="AN34" i="14"/>
  <c r="AO28" i="14"/>
  <c r="AN28" i="14"/>
  <c r="AO23" i="14"/>
  <c r="AN23" i="14"/>
  <c r="AT62" i="14"/>
  <c r="AS62" i="14"/>
  <c r="AR62" i="14"/>
  <c r="AQ62" i="14"/>
  <c r="AP62" i="14"/>
  <c r="AT57" i="14"/>
  <c r="AS57" i="14"/>
  <c r="AR57" i="14"/>
  <c r="AQ57" i="14"/>
  <c r="AP57" i="14"/>
  <c r="AT52" i="14"/>
  <c r="AS52" i="14"/>
  <c r="AR52" i="14"/>
  <c r="AQ52" i="14"/>
  <c r="AP52" i="14"/>
  <c r="AT51" i="14"/>
  <c r="AS51" i="14"/>
  <c r="AR51" i="14"/>
  <c r="AQ51" i="14"/>
  <c r="AP51" i="14"/>
  <c r="AT45" i="14"/>
  <c r="AS45" i="14"/>
  <c r="AR45" i="14"/>
  <c r="AQ45" i="14"/>
  <c r="AP45" i="14"/>
  <c r="AT40" i="14"/>
  <c r="AS40" i="14"/>
  <c r="AR40" i="14"/>
  <c r="AQ40" i="14"/>
  <c r="AP40" i="14"/>
  <c r="AT35" i="14"/>
  <c r="AS35" i="14"/>
  <c r="AR35" i="14"/>
  <c r="AQ35" i="14"/>
  <c r="AP35" i="14"/>
  <c r="AT34" i="14"/>
  <c r="AS34" i="14"/>
  <c r="AR34" i="14"/>
  <c r="AQ34" i="14"/>
  <c r="AP34" i="14"/>
  <c r="AT28" i="14"/>
  <c r="AS28" i="14"/>
  <c r="AR28" i="14"/>
  <c r="AQ28" i="14"/>
  <c r="AP28" i="14"/>
  <c r="AT23" i="14"/>
  <c r="AS23" i="14"/>
  <c r="AR23" i="14"/>
  <c r="AQ23" i="14"/>
  <c r="AP23" i="14"/>
  <c r="AB62" i="14"/>
  <c r="AB57" i="14"/>
  <c r="AB52" i="14"/>
  <c r="AB51" i="14"/>
  <c r="AB45" i="14"/>
  <c r="AB40" i="14"/>
  <c r="AB35" i="14"/>
  <c r="AB34" i="14"/>
  <c r="AB28" i="14"/>
  <c r="AB23" i="14"/>
  <c r="AG62" i="14"/>
  <c r="AF62" i="14"/>
  <c r="AE62" i="14"/>
  <c r="AD62" i="14"/>
  <c r="AG57" i="14"/>
  <c r="AF57" i="14"/>
  <c r="AE57" i="14"/>
  <c r="AD57" i="14"/>
  <c r="AG52" i="14"/>
  <c r="AF52" i="14"/>
  <c r="AE52" i="14"/>
  <c r="AD52" i="14"/>
  <c r="AG51" i="14"/>
  <c r="AF51" i="14"/>
  <c r="AE51" i="14"/>
  <c r="AD51" i="14"/>
  <c r="AG45" i="14"/>
  <c r="AF45" i="14"/>
  <c r="AE45" i="14"/>
  <c r="AD45" i="14"/>
  <c r="AG40" i="14"/>
  <c r="AF40" i="14"/>
  <c r="AE40" i="14"/>
  <c r="AD40" i="14"/>
  <c r="AG35" i="14"/>
  <c r="AF35" i="14"/>
  <c r="AE35" i="14"/>
  <c r="AD35" i="14"/>
  <c r="AG34" i="14"/>
  <c r="AF34" i="14"/>
  <c r="AE34" i="14"/>
  <c r="AD34" i="14"/>
  <c r="AG28" i="14"/>
  <c r="AF28" i="14"/>
  <c r="AE28" i="14"/>
  <c r="AD28" i="14"/>
  <c r="AG23" i="14"/>
  <c r="AF23" i="14"/>
  <c r="AE23" i="14"/>
  <c r="AD23" i="14"/>
  <c r="AC23" i="14"/>
  <c r="AH23" i="14"/>
  <c r="AC28" i="14"/>
  <c r="AH28" i="14"/>
  <c r="AC34" i="14"/>
  <c r="AC35" i="14"/>
  <c r="AH35" i="14"/>
  <c r="AC40" i="14"/>
  <c r="AH40" i="14"/>
  <c r="AC45" i="14"/>
  <c r="AH45" i="14"/>
  <c r="P62" i="14"/>
  <c r="P57" i="14"/>
  <c r="P52" i="14"/>
  <c r="P51" i="14"/>
  <c r="P45" i="14"/>
  <c r="P40" i="14"/>
  <c r="P35" i="14"/>
  <c r="P28" i="14"/>
  <c r="P23" i="14"/>
  <c r="V52" i="14"/>
  <c r="V45" i="14"/>
  <c r="V40" i="14"/>
  <c r="V35" i="14"/>
  <c r="V28" i="14"/>
  <c r="V23" i="14"/>
  <c r="AU62" i="14"/>
  <c r="AU57" i="14"/>
  <c r="AU52" i="14"/>
  <c r="AU51" i="14"/>
  <c r="AU45" i="14"/>
  <c r="AU40" i="14"/>
  <c r="AU35" i="14"/>
  <c r="AU34" i="14"/>
  <c r="AU28" i="14"/>
  <c r="AU23" i="14"/>
  <c r="D19" i="19"/>
  <c r="E19" i="19"/>
  <c r="F19" i="19"/>
  <c r="G19" i="19"/>
  <c r="H19" i="19"/>
  <c r="I19" i="19"/>
  <c r="J19" i="19"/>
  <c r="C19" i="19"/>
  <c r="E28" i="15" l="1"/>
  <c r="D31" i="15"/>
  <c r="D29" i="15"/>
  <c r="D25" i="15"/>
  <c r="C25" i="15"/>
  <c r="C24" i="15"/>
  <c r="N30" i="10"/>
  <c r="BG24" i="14"/>
  <c r="I13" i="15"/>
  <c r="I14" i="15" s="1"/>
  <c r="C13" i="15"/>
  <c r="C14" i="15" s="1"/>
  <c r="I20" i="2"/>
  <c r="BG66" i="21"/>
  <c r="AU66" i="21"/>
  <c r="AI66" i="21"/>
  <c r="BG65" i="21"/>
  <c r="K65" i="21"/>
  <c r="AU61" i="21"/>
  <c r="AI60" i="21"/>
  <c r="W60" i="21"/>
  <c r="W59" i="21"/>
  <c r="AU56" i="21"/>
  <c r="W56" i="21"/>
  <c r="W55" i="21"/>
  <c r="BG54" i="21"/>
  <c r="AU54" i="21"/>
  <c r="BG49" i="21"/>
  <c r="BG48" i="21"/>
  <c r="AU48" i="21"/>
  <c r="AI48" i="21"/>
  <c r="AU44" i="21"/>
  <c r="AI44" i="21"/>
  <c r="W44" i="21"/>
  <c r="K44" i="21"/>
  <c r="AI43" i="21"/>
  <c r="AI42" i="21"/>
  <c r="W42" i="21"/>
  <c r="AU39" i="21"/>
  <c r="K39" i="21"/>
  <c r="W37" i="21"/>
  <c r="AI32" i="21"/>
  <c r="K32" i="21"/>
  <c r="AI31" i="21"/>
  <c r="BG30" i="21"/>
  <c r="AI30" i="21"/>
  <c r="AU27" i="21"/>
  <c r="K27" i="21"/>
  <c r="AU26" i="21"/>
  <c r="K25" i="21"/>
  <c r="W22" i="21"/>
  <c r="K22" i="21"/>
  <c r="BG21" i="21"/>
  <c r="AU20" i="21"/>
  <c r="W20" i="21"/>
  <c r="AH63" i="21"/>
  <c r="AU65" i="21"/>
  <c r="BF63" i="21"/>
  <c r="AT63" i="21"/>
  <c r="BG62" i="21"/>
  <c r="BF62" i="21"/>
  <c r="BE62" i="21"/>
  <c r="BD62" i="21"/>
  <c r="BC62" i="21"/>
  <c r="BB62" i="21"/>
  <c r="BA62" i="21"/>
  <c r="AZ62" i="21"/>
  <c r="AY62" i="21"/>
  <c r="AU62" i="21"/>
  <c r="AT62" i="21"/>
  <c r="AS62" i="21"/>
  <c r="AR62" i="21"/>
  <c r="AQ62" i="21"/>
  <c r="AP62" i="21"/>
  <c r="AO62" i="21"/>
  <c r="AN62" i="21"/>
  <c r="AM62" i="21"/>
  <c r="AI62" i="21"/>
  <c r="AH62" i="21"/>
  <c r="AG62" i="21"/>
  <c r="AF62" i="21"/>
  <c r="AE62" i="21"/>
  <c r="AD62" i="21"/>
  <c r="AC62" i="21"/>
  <c r="AB62" i="21"/>
  <c r="AA62" i="21"/>
  <c r="W62" i="21"/>
  <c r="V62" i="21"/>
  <c r="U62" i="21"/>
  <c r="T62" i="21"/>
  <c r="S62" i="21"/>
  <c r="R62" i="21"/>
  <c r="Q62" i="21"/>
  <c r="P62" i="21"/>
  <c r="O62" i="21"/>
  <c r="K62" i="21"/>
  <c r="J62" i="21"/>
  <c r="I62" i="21"/>
  <c r="H62" i="21"/>
  <c r="G62" i="21"/>
  <c r="F62" i="21"/>
  <c r="E62" i="21"/>
  <c r="D62" i="21"/>
  <c r="C62" i="21"/>
  <c r="BG61" i="21"/>
  <c r="BF58" i="21"/>
  <c r="BG60" i="21"/>
  <c r="K60" i="21"/>
  <c r="AT58" i="21"/>
  <c r="V58" i="21"/>
  <c r="AH58" i="21"/>
  <c r="BG57" i="21"/>
  <c r="BF57" i="21"/>
  <c r="BE57" i="21"/>
  <c r="BD57" i="21"/>
  <c r="BC57" i="21"/>
  <c r="BB57" i="21"/>
  <c r="BA57" i="21"/>
  <c r="AZ57" i="21"/>
  <c r="AY57" i="21"/>
  <c r="AU57" i="21"/>
  <c r="AT57" i="21"/>
  <c r="AS57" i="21"/>
  <c r="AR57" i="21"/>
  <c r="AQ57" i="21"/>
  <c r="AP57" i="21"/>
  <c r="AO57" i="21"/>
  <c r="AN57" i="21"/>
  <c r="AM57" i="21"/>
  <c r="AI57" i="21"/>
  <c r="AH57" i="21"/>
  <c r="AG57" i="21"/>
  <c r="AF57" i="21"/>
  <c r="AE57" i="21"/>
  <c r="AD57" i="21"/>
  <c r="AC57" i="21"/>
  <c r="AB57" i="21"/>
  <c r="AA57" i="21"/>
  <c r="W57" i="21"/>
  <c r="V57" i="21"/>
  <c r="U57" i="21"/>
  <c r="T57" i="21"/>
  <c r="S57" i="21"/>
  <c r="R57" i="21"/>
  <c r="Q57" i="21"/>
  <c r="P57" i="21"/>
  <c r="O57" i="21"/>
  <c r="K57" i="21"/>
  <c r="J57" i="21"/>
  <c r="I57" i="21"/>
  <c r="H57" i="21"/>
  <c r="G57" i="21"/>
  <c r="F57" i="21"/>
  <c r="E57" i="21"/>
  <c r="D57" i="21"/>
  <c r="C57" i="21"/>
  <c r="BG56" i="21"/>
  <c r="V53" i="21"/>
  <c r="AH53" i="21"/>
  <c r="BF53" i="21"/>
  <c r="AT53" i="21"/>
  <c r="J53" i="21"/>
  <c r="BG52" i="21"/>
  <c r="BF52" i="21"/>
  <c r="BE52" i="21"/>
  <c r="BD52" i="21"/>
  <c r="BC52" i="21"/>
  <c r="BB52" i="21"/>
  <c r="BA52" i="21"/>
  <c r="AZ52" i="21"/>
  <c r="AY52" i="21"/>
  <c r="AU52" i="21"/>
  <c r="AT52" i="21"/>
  <c r="AS52" i="21"/>
  <c r="AR52" i="21"/>
  <c r="AQ52" i="21"/>
  <c r="AP52" i="21"/>
  <c r="AO52" i="21"/>
  <c r="AN52" i="21"/>
  <c r="AM52" i="21"/>
  <c r="AI52" i="21"/>
  <c r="AH52" i="21"/>
  <c r="AG52" i="21"/>
  <c r="AF52" i="21"/>
  <c r="AE52" i="21"/>
  <c r="AD52" i="21"/>
  <c r="AC52" i="21"/>
  <c r="AB52" i="21"/>
  <c r="AA52" i="21"/>
  <c r="W52" i="21"/>
  <c r="V52" i="21"/>
  <c r="U52" i="21"/>
  <c r="T52" i="21"/>
  <c r="S52" i="21"/>
  <c r="R52" i="21"/>
  <c r="Q52" i="21"/>
  <c r="P52" i="21"/>
  <c r="O52" i="21"/>
  <c r="K52" i="21"/>
  <c r="J52" i="21"/>
  <c r="I52" i="21"/>
  <c r="H52" i="21"/>
  <c r="G52" i="21"/>
  <c r="F52" i="21"/>
  <c r="E52" i="21"/>
  <c r="D52" i="21"/>
  <c r="C52" i="21"/>
  <c r="BG51" i="21"/>
  <c r="AW51" i="21"/>
  <c r="AU51" i="21"/>
  <c r="AK51" i="21"/>
  <c r="AI51" i="21"/>
  <c r="Y51" i="21"/>
  <c r="W51" i="21"/>
  <c r="M51" i="21"/>
  <c r="K51" i="21"/>
  <c r="AU49" i="21"/>
  <c r="AT46" i="21"/>
  <c r="AH46" i="21"/>
  <c r="V46" i="21"/>
  <c r="BG45" i="21"/>
  <c r="BF45" i="21"/>
  <c r="BE45" i="21"/>
  <c r="BD45" i="21"/>
  <c r="BC45" i="21"/>
  <c r="BB45" i="21"/>
  <c r="BA45" i="21"/>
  <c r="AZ45" i="21"/>
  <c r="AY45" i="21"/>
  <c r="AU45" i="21"/>
  <c r="AT45" i="21"/>
  <c r="AS45" i="21"/>
  <c r="AR45" i="21"/>
  <c r="AQ45" i="21"/>
  <c r="AP45" i="21"/>
  <c r="AO45" i="21"/>
  <c r="AN45" i="21"/>
  <c r="AM45" i="21"/>
  <c r="AI45" i="21"/>
  <c r="AH45" i="21"/>
  <c r="AG45" i="21"/>
  <c r="AF45" i="21"/>
  <c r="AE45" i="21"/>
  <c r="AD45" i="21"/>
  <c r="AC45" i="21"/>
  <c r="AB45" i="21"/>
  <c r="AA45" i="21"/>
  <c r="W45" i="21"/>
  <c r="V45" i="21"/>
  <c r="U45" i="21"/>
  <c r="T45" i="21"/>
  <c r="S45" i="21"/>
  <c r="R45" i="21"/>
  <c r="Q45" i="21"/>
  <c r="P45" i="21"/>
  <c r="O45" i="21"/>
  <c r="K45" i="21"/>
  <c r="J45" i="21"/>
  <c r="I45" i="21"/>
  <c r="H45" i="21"/>
  <c r="G45" i="21"/>
  <c r="F45" i="21"/>
  <c r="E45" i="21"/>
  <c r="D45" i="21"/>
  <c r="C45" i="21"/>
  <c r="BF41" i="21"/>
  <c r="W43" i="21"/>
  <c r="V41" i="21"/>
  <c r="AH41" i="21"/>
  <c r="J41" i="21"/>
  <c r="BG40" i="21"/>
  <c r="BF40" i="21"/>
  <c r="BE40" i="21"/>
  <c r="BD40" i="21"/>
  <c r="BC40" i="21"/>
  <c r="BB40" i="21"/>
  <c r="BA40" i="21"/>
  <c r="AZ40" i="21"/>
  <c r="AY40" i="21"/>
  <c r="AU40" i="21"/>
  <c r="AT40" i="21"/>
  <c r="AS40" i="21"/>
  <c r="AR40" i="21"/>
  <c r="AQ40" i="21"/>
  <c r="AP40" i="21"/>
  <c r="AO40" i="21"/>
  <c r="AN40" i="21"/>
  <c r="AM40" i="21"/>
  <c r="AI40" i="21"/>
  <c r="AH40" i="21"/>
  <c r="AG40" i="21"/>
  <c r="AF40" i="21"/>
  <c r="AE40" i="21"/>
  <c r="AD40" i="21"/>
  <c r="AC40" i="21"/>
  <c r="AB40" i="21"/>
  <c r="AA40" i="21"/>
  <c r="W40" i="21"/>
  <c r="V40" i="21"/>
  <c r="U40" i="21"/>
  <c r="T40" i="21"/>
  <c r="S40" i="21"/>
  <c r="R40" i="21"/>
  <c r="Q40" i="21"/>
  <c r="P40" i="21"/>
  <c r="O40" i="21"/>
  <c r="K40" i="21"/>
  <c r="J40" i="21"/>
  <c r="I40" i="21"/>
  <c r="H40" i="21"/>
  <c r="G40" i="21"/>
  <c r="F40" i="21"/>
  <c r="E40" i="21"/>
  <c r="D40" i="21"/>
  <c r="C40" i="21"/>
  <c r="BG39" i="21"/>
  <c r="BF36" i="21"/>
  <c r="AH36" i="21"/>
  <c r="AI37" i="21"/>
  <c r="J36" i="21"/>
  <c r="AT36" i="21"/>
  <c r="BG35" i="21"/>
  <c r="BF35" i="21"/>
  <c r="BE35" i="21"/>
  <c r="BD35" i="21"/>
  <c r="BC35" i="21"/>
  <c r="BB35" i="21"/>
  <c r="BA35" i="21"/>
  <c r="AZ35" i="21"/>
  <c r="AY35" i="21"/>
  <c r="AU35" i="21"/>
  <c r="AT35" i="21"/>
  <c r="AS35" i="21"/>
  <c r="AR35" i="21"/>
  <c r="AQ35" i="21"/>
  <c r="AP35" i="21"/>
  <c r="AO35" i="21"/>
  <c r="AN35" i="21"/>
  <c r="AM35" i="21"/>
  <c r="AI35" i="21"/>
  <c r="AH35" i="21"/>
  <c r="AG35" i="21"/>
  <c r="AF35" i="21"/>
  <c r="AE35" i="21"/>
  <c r="AD35" i="21"/>
  <c r="AC35" i="21"/>
  <c r="AB35" i="21"/>
  <c r="AA35" i="21"/>
  <c r="W35" i="21"/>
  <c r="V35" i="21"/>
  <c r="U35" i="21"/>
  <c r="T35" i="21"/>
  <c r="S35" i="21"/>
  <c r="R35" i="21"/>
  <c r="Q35" i="21"/>
  <c r="P35" i="21"/>
  <c r="O35" i="21"/>
  <c r="K35" i="21"/>
  <c r="J35" i="21"/>
  <c r="I35" i="21"/>
  <c r="H35" i="21"/>
  <c r="G35" i="21"/>
  <c r="F35" i="21"/>
  <c r="E35" i="21"/>
  <c r="D35" i="21"/>
  <c r="C35" i="21"/>
  <c r="BG34" i="21"/>
  <c r="AW34" i="21"/>
  <c r="AU34" i="21"/>
  <c r="AK34" i="21"/>
  <c r="AI34" i="21"/>
  <c r="Y34" i="21"/>
  <c r="W34" i="21"/>
  <c r="M34" i="21"/>
  <c r="K34" i="21"/>
  <c r="AU32" i="21"/>
  <c r="V29" i="21"/>
  <c r="W32" i="21"/>
  <c r="AH29" i="21"/>
  <c r="K31" i="21"/>
  <c r="BF29" i="21"/>
  <c r="J29" i="21"/>
  <c r="BG28" i="21"/>
  <c r="BF28" i="21"/>
  <c r="BE28" i="21"/>
  <c r="BD28" i="21"/>
  <c r="BC28" i="21"/>
  <c r="BB28" i="21"/>
  <c r="BA28" i="21"/>
  <c r="AZ28" i="21"/>
  <c r="AY28" i="21"/>
  <c r="AU28" i="21"/>
  <c r="AT28" i="21"/>
  <c r="AS28" i="21"/>
  <c r="AR28" i="21"/>
  <c r="AQ28" i="21"/>
  <c r="AP28" i="21"/>
  <c r="AO28" i="21"/>
  <c r="AN28" i="21"/>
  <c r="AM28" i="21"/>
  <c r="AI28" i="21"/>
  <c r="AH28" i="21"/>
  <c r="AG28" i="21"/>
  <c r="AF28" i="21"/>
  <c r="AE28" i="21"/>
  <c r="AD28" i="21"/>
  <c r="AC28" i="21"/>
  <c r="AB28" i="21"/>
  <c r="AA28" i="21"/>
  <c r="W28" i="21"/>
  <c r="V28" i="21"/>
  <c r="U28" i="21"/>
  <c r="T28" i="21"/>
  <c r="S28" i="21"/>
  <c r="R28" i="21"/>
  <c r="Q28" i="21"/>
  <c r="P28" i="21"/>
  <c r="O28" i="21"/>
  <c r="K28" i="21"/>
  <c r="J28" i="21"/>
  <c r="I28" i="21"/>
  <c r="H28" i="21"/>
  <c r="G28" i="21"/>
  <c r="F28" i="21"/>
  <c r="E28" i="21"/>
  <c r="D28" i="21"/>
  <c r="C28" i="21"/>
  <c r="AH24" i="21"/>
  <c r="BG26" i="21"/>
  <c r="AT24" i="21"/>
  <c r="BF24" i="21"/>
  <c r="AI25" i="21"/>
  <c r="J24" i="21"/>
  <c r="V24" i="21"/>
  <c r="BG23" i="21"/>
  <c r="BF23" i="21"/>
  <c r="BE23" i="21"/>
  <c r="BD23" i="21"/>
  <c r="BC23" i="21"/>
  <c r="BB23" i="21"/>
  <c r="BA23" i="21"/>
  <c r="AZ23" i="21"/>
  <c r="AY23" i="21"/>
  <c r="AU23" i="21"/>
  <c r="AT23" i="21"/>
  <c r="AS23" i="21"/>
  <c r="AR23" i="21"/>
  <c r="AQ23" i="21"/>
  <c r="AP23" i="21"/>
  <c r="AO23" i="21"/>
  <c r="AN23" i="21"/>
  <c r="AM23" i="21"/>
  <c r="AI23" i="21"/>
  <c r="AH23" i="21"/>
  <c r="AG23" i="21"/>
  <c r="AF23" i="21"/>
  <c r="AE23" i="21"/>
  <c r="AD23" i="21"/>
  <c r="AC23" i="21"/>
  <c r="AB23" i="21"/>
  <c r="AA23" i="21"/>
  <c r="W23" i="21"/>
  <c r="V23" i="21"/>
  <c r="U23" i="21"/>
  <c r="T23" i="21"/>
  <c r="S23" i="21"/>
  <c r="R23" i="21"/>
  <c r="Q23" i="21"/>
  <c r="P23" i="21"/>
  <c r="O23" i="21"/>
  <c r="K23" i="21"/>
  <c r="J23" i="21"/>
  <c r="I23" i="21"/>
  <c r="H23" i="21"/>
  <c r="G23" i="21"/>
  <c r="F23" i="21"/>
  <c r="E23" i="21"/>
  <c r="D23" i="21"/>
  <c r="C23" i="21"/>
  <c r="BG22" i="21"/>
  <c r="AT19" i="21"/>
  <c r="BF19" i="21"/>
  <c r="J19" i="21"/>
  <c r="V19" i="21"/>
  <c r="AH19" i="21"/>
  <c r="BG66" i="19"/>
  <c r="BG65" i="19"/>
  <c r="BF63" i="19"/>
  <c r="BF62" i="19"/>
  <c r="BE62" i="19"/>
  <c r="BD62" i="19"/>
  <c r="BC62" i="19"/>
  <c r="BB62" i="19"/>
  <c r="BA62" i="19"/>
  <c r="AZ62" i="19"/>
  <c r="AY62" i="19"/>
  <c r="BG61" i="19"/>
  <c r="BG60" i="19"/>
  <c r="BG59" i="19"/>
  <c r="BF58" i="19"/>
  <c r="BG58" i="19"/>
  <c r="BF57" i="19"/>
  <c r="BE57" i="19"/>
  <c r="BD57" i="19"/>
  <c r="BC57" i="19"/>
  <c r="BB57" i="19"/>
  <c r="BA57" i="19"/>
  <c r="AZ57" i="19"/>
  <c r="AY57" i="19"/>
  <c r="BG56" i="19"/>
  <c r="BG54" i="19"/>
  <c r="BF53" i="19"/>
  <c r="BF52" i="19"/>
  <c r="BE52" i="19"/>
  <c r="BD52" i="19"/>
  <c r="BC52" i="19"/>
  <c r="BB52" i="19"/>
  <c r="BA52" i="19"/>
  <c r="AZ52" i="19"/>
  <c r="AY52" i="19"/>
  <c r="BG48" i="19"/>
  <c r="BG47" i="19"/>
  <c r="BF46" i="19"/>
  <c r="BF45" i="19"/>
  <c r="BE45" i="19"/>
  <c r="BD45" i="19"/>
  <c r="BC45" i="19"/>
  <c r="BB45" i="19"/>
  <c r="BA45" i="19"/>
  <c r="AZ45" i="19"/>
  <c r="AY45" i="19"/>
  <c r="BG44" i="19"/>
  <c r="BG43" i="19"/>
  <c r="BF41" i="19"/>
  <c r="BF40" i="19"/>
  <c r="BE40" i="19"/>
  <c r="BD40" i="19"/>
  <c r="BC40" i="19"/>
  <c r="BB40" i="19"/>
  <c r="BA40" i="19"/>
  <c r="AZ40" i="19"/>
  <c r="AY40" i="19"/>
  <c r="BG39" i="19"/>
  <c r="BG38" i="19"/>
  <c r="BF36" i="19"/>
  <c r="BF35" i="19"/>
  <c r="BE35" i="19"/>
  <c r="BD35" i="19"/>
  <c r="BC35" i="19"/>
  <c r="BB35" i="19"/>
  <c r="BA35" i="19"/>
  <c r="AZ35" i="19"/>
  <c r="AY35" i="19"/>
  <c r="BG30" i="19"/>
  <c r="BF29" i="19"/>
  <c r="BF28" i="19"/>
  <c r="BE28" i="19"/>
  <c r="BD28" i="19"/>
  <c r="BC28" i="19"/>
  <c r="BB28" i="19"/>
  <c r="BA28" i="19"/>
  <c r="AZ28" i="19"/>
  <c r="AY28" i="19"/>
  <c r="BG26" i="19"/>
  <c r="BG25" i="19"/>
  <c r="BF24" i="19"/>
  <c r="BF23" i="19"/>
  <c r="BE23" i="19"/>
  <c r="BD23" i="19"/>
  <c r="BC23" i="19"/>
  <c r="BB23" i="19"/>
  <c r="BA23" i="19"/>
  <c r="AZ23" i="19"/>
  <c r="AY23" i="19"/>
  <c r="BG22" i="19"/>
  <c r="BG21" i="19"/>
  <c r="BF19" i="19"/>
  <c r="AU64" i="19"/>
  <c r="AT63" i="19"/>
  <c r="AT62" i="19"/>
  <c r="AS62" i="19"/>
  <c r="AR62" i="19"/>
  <c r="AQ62" i="19"/>
  <c r="AP62" i="19"/>
  <c r="AO62" i="19"/>
  <c r="AN62" i="19"/>
  <c r="AM62" i="19"/>
  <c r="AU61" i="19"/>
  <c r="AU60" i="19"/>
  <c r="AT58" i="19"/>
  <c r="AT57" i="19"/>
  <c r="AS57" i="19"/>
  <c r="AR57" i="19"/>
  <c r="AQ57" i="19"/>
  <c r="AP57" i="19"/>
  <c r="AO57" i="19"/>
  <c r="AN57" i="19"/>
  <c r="AM57" i="19"/>
  <c r="AU56" i="19"/>
  <c r="AU55" i="19"/>
  <c r="AU54" i="19"/>
  <c r="AT53" i="19"/>
  <c r="AT52" i="19"/>
  <c r="AS52" i="19"/>
  <c r="AR52" i="19"/>
  <c r="AQ52" i="19"/>
  <c r="AP52" i="19"/>
  <c r="AO52" i="19"/>
  <c r="AN52" i="19"/>
  <c r="AM52" i="19"/>
  <c r="AU49" i="19"/>
  <c r="AU48" i="19"/>
  <c r="AT46" i="19"/>
  <c r="AT45" i="19"/>
  <c r="AS45" i="19"/>
  <c r="AR45" i="19"/>
  <c r="AQ45" i="19"/>
  <c r="AP45" i="19"/>
  <c r="AO45" i="19"/>
  <c r="AN45" i="19"/>
  <c r="AM45" i="19"/>
  <c r="AU44" i="19"/>
  <c r="AT41" i="19"/>
  <c r="AT40" i="19"/>
  <c r="AS40" i="19"/>
  <c r="AR40" i="19"/>
  <c r="AQ40" i="19"/>
  <c r="AP40" i="19"/>
  <c r="AO40" i="19"/>
  <c r="AN40" i="19"/>
  <c r="AM40" i="19"/>
  <c r="AU39" i="19"/>
  <c r="AU38" i="19"/>
  <c r="AU37" i="19"/>
  <c r="AT36" i="19"/>
  <c r="AT35" i="19"/>
  <c r="AS35" i="19"/>
  <c r="AR35" i="19"/>
  <c r="AQ35" i="19"/>
  <c r="AP35" i="19"/>
  <c r="AO35" i="19"/>
  <c r="AN35" i="19"/>
  <c r="AM35" i="19"/>
  <c r="AU31" i="19"/>
  <c r="AU30" i="19"/>
  <c r="AT29" i="19"/>
  <c r="AT28" i="19"/>
  <c r="AS28" i="19"/>
  <c r="AR28" i="19"/>
  <c r="AQ28" i="19"/>
  <c r="AP28" i="19"/>
  <c r="AO28" i="19"/>
  <c r="AN28" i="19"/>
  <c r="AM28" i="19"/>
  <c r="AU27" i="19"/>
  <c r="AU25" i="19"/>
  <c r="AT24" i="19"/>
  <c r="AT23" i="19"/>
  <c r="AS23" i="19"/>
  <c r="AR23" i="19"/>
  <c r="AQ23" i="19"/>
  <c r="AP23" i="19"/>
  <c r="AO23" i="19"/>
  <c r="AN23" i="19"/>
  <c r="AM23" i="19"/>
  <c r="AU22" i="19"/>
  <c r="AU21" i="19"/>
  <c r="AU20" i="19"/>
  <c r="AT19" i="19"/>
  <c r="AI66" i="19"/>
  <c r="AI65" i="19"/>
  <c r="AI64" i="19"/>
  <c r="AH63" i="19"/>
  <c r="AH62" i="19"/>
  <c r="AG62" i="19"/>
  <c r="AF62" i="19"/>
  <c r="AE62" i="19"/>
  <c r="AD62" i="19"/>
  <c r="AC62" i="19"/>
  <c r="AB62" i="19"/>
  <c r="AA62" i="19"/>
  <c r="AI61" i="19"/>
  <c r="AI60" i="19"/>
  <c r="AI59" i="19"/>
  <c r="AI58" i="19"/>
  <c r="AH57" i="19"/>
  <c r="AG57" i="19"/>
  <c r="AF57" i="19"/>
  <c r="AE57" i="19"/>
  <c r="AD57" i="19"/>
  <c r="AC57" i="19"/>
  <c r="AB57" i="19"/>
  <c r="AA57" i="19"/>
  <c r="AI55" i="19"/>
  <c r="AI54" i="19"/>
  <c r="AH53" i="19"/>
  <c r="AH52" i="19"/>
  <c r="AG52" i="19"/>
  <c r="AF52" i="19"/>
  <c r="AE52" i="19"/>
  <c r="AD52" i="19"/>
  <c r="AC52" i="19"/>
  <c r="AB52" i="19"/>
  <c r="AA52" i="19"/>
  <c r="AI49" i="19"/>
  <c r="AI47" i="19"/>
  <c r="AH46" i="19"/>
  <c r="AI46" i="19"/>
  <c r="AH45" i="19"/>
  <c r="AG45" i="19"/>
  <c r="AF45" i="19"/>
  <c r="AE45" i="19"/>
  <c r="AD45" i="19"/>
  <c r="AC45" i="19"/>
  <c r="AB45" i="19"/>
  <c r="AA45" i="19"/>
  <c r="AI44" i="19"/>
  <c r="AI43" i="19"/>
  <c r="AI42" i="19"/>
  <c r="AH41" i="19"/>
  <c r="AH40" i="19"/>
  <c r="AG40" i="19"/>
  <c r="AF40" i="19"/>
  <c r="AE40" i="19"/>
  <c r="AD40" i="19"/>
  <c r="AC40" i="19"/>
  <c r="AB40" i="19"/>
  <c r="AA40" i="19"/>
  <c r="AI38" i="19"/>
  <c r="AI37" i="19"/>
  <c r="AH36" i="19"/>
  <c r="AH35" i="19"/>
  <c r="AG35" i="19"/>
  <c r="AF35" i="19"/>
  <c r="AE35" i="19"/>
  <c r="AD35" i="19"/>
  <c r="AC35" i="19"/>
  <c r="AB35" i="19"/>
  <c r="AA35" i="19"/>
  <c r="AI32" i="19"/>
  <c r="AI31" i="19"/>
  <c r="AI30" i="19"/>
  <c r="AH29" i="19"/>
  <c r="AH28" i="19"/>
  <c r="AG28" i="19"/>
  <c r="AF28" i="19"/>
  <c r="AE28" i="19"/>
  <c r="AD28" i="19"/>
  <c r="AC28" i="19"/>
  <c r="AB28" i="19"/>
  <c r="AA28" i="19"/>
  <c r="AI25" i="19"/>
  <c r="AH23" i="19"/>
  <c r="AG23" i="19"/>
  <c r="AF23" i="19"/>
  <c r="AE23" i="19"/>
  <c r="AD23" i="19"/>
  <c r="AC23" i="19"/>
  <c r="AB23" i="19"/>
  <c r="AA23" i="19"/>
  <c r="AI22" i="19"/>
  <c r="AI21" i="19"/>
  <c r="AH19" i="19"/>
  <c r="W65" i="19"/>
  <c r="V63" i="19"/>
  <c r="V62" i="19"/>
  <c r="U62" i="19"/>
  <c r="T62" i="19"/>
  <c r="S62" i="19"/>
  <c r="R62" i="19"/>
  <c r="Q62" i="19"/>
  <c r="P62" i="19"/>
  <c r="O62" i="19"/>
  <c r="W61" i="19"/>
  <c r="W60" i="19"/>
  <c r="W59" i="19"/>
  <c r="V58" i="19"/>
  <c r="V57" i="19"/>
  <c r="U57" i="19"/>
  <c r="T57" i="19"/>
  <c r="S57" i="19"/>
  <c r="R57" i="19"/>
  <c r="Q57" i="19"/>
  <c r="P57" i="19"/>
  <c r="O57" i="19"/>
  <c r="W56" i="19"/>
  <c r="W54" i="19"/>
  <c r="V53" i="19"/>
  <c r="V52" i="19"/>
  <c r="U52" i="19"/>
  <c r="T52" i="19"/>
  <c r="S52" i="19"/>
  <c r="R52" i="19"/>
  <c r="Q52" i="19"/>
  <c r="P52" i="19"/>
  <c r="O52" i="19"/>
  <c r="W49" i="19"/>
  <c r="W48" i="19"/>
  <c r="W47" i="19"/>
  <c r="V45" i="19"/>
  <c r="U45" i="19"/>
  <c r="T45" i="19"/>
  <c r="S45" i="19"/>
  <c r="R45" i="19"/>
  <c r="Q45" i="19"/>
  <c r="P45" i="19"/>
  <c r="O45" i="19"/>
  <c r="W44" i="19"/>
  <c r="W43" i="19"/>
  <c r="V41" i="19"/>
  <c r="V40" i="19"/>
  <c r="U40" i="19"/>
  <c r="T40" i="19"/>
  <c r="S40" i="19"/>
  <c r="R40" i="19"/>
  <c r="Q40" i="19"/>
  <c r="P40" i="19"/>
  <c r="O40" i="19"/>
  <c r="W39" i="19"/>
  <c r="W37" i="19"/>
  <c r="V36" i="19"/>
  <c r="V35" i="19"/>
  <c r="U35" i="19"/>
  <c r="T35" i="19"/>
  <c r="S35" i="19"/>
  <c r="R35" i="19"/>
  <c r="Q35" i="19"/>
  <c r="P35" i="19"/>
  <c r="O35" i="19"/>
  <c r="W32" i="19"/>
  <c r="W31" i="19"/>
  <c r="V29" i="19"/>
  <c r="V28" i="19"/>
  <c r="U28" i="19"/>
  <c r="T28" i="19"/>
  <c r="S28" i="19"/>
  <c r="R28" i="19"/>
  <c r="Q28" i="19"/>
  <c r="P28" i="19"/>
  <c r="O28" i="19"/>
  <c r="W27" i="19"/>
  <c r="W26" i="19"/>
  <c r="W25" i="19"/>
  <c r="V24" i="19"/>
  <c r="V23" i="19"/>
  <c r="U23" i="19"/>
  <c r="T23" i="19"/>
  <c r="S23" i="19"/>
  <c r="R23" i="19"/>
  <c r="Q23" i="19"/>
  <c r="P23" i="19"/>
  <c r="O23" i="19"/>
  <c r="W22" i="19"/>
  <c r="W21" i="19"/>
  <c r="W20" i="19"/>
  <c r="V19" i="19"/>
  <c r="J63" i="19"/>
  <c r="J62" i="19"/>
  <c r="I62" i="19"/>
  <c r="H62" i="19"/>
  <c r="G62" i="19"/>
  <c r="F62" i="19"/>
  <c r="E62" i="19"/>
  <c r="D62" i="19"/>
  <c r="K61" i="19"/>
  <c r="J58" i="19"/>
  <c r="K60" i="19"/>
  <c r="K59" i="19"/>
  <c r="J57" i="19"/>
  <c r="I57" i="19"/>
  <c r="H57" i="19"/>
  <c r="G57" i="19"/>
  <c r="F57" i="19"/>
  <c r="E57" i="19"/>
  <c r="D57" i="19"/>
  <c r="K55" i="19"/>
  <c r="J53" i="19"/>
  <c r="J46" i="19"/>
  <c r="K47" i="19"/>
  <c r="J41" i="19"/>
  <c r="K39" i="19"/>
  <c r="K38" i="19"/>
  <c r="J36" i="19"/>
  <c r="J29" i="19"/>
  <c r="K31" i="19"/>
  <c r="K26" i="19"/>
  <c r="J24" i="19"/>
  <c r="K14" i="11"/>
  <c r="AU35" i="19"/>
  <c r="BE62" i="14"/>
  <c r="BB62" i="14"/>
  <c r="AZ62" i="14"/>
  <c r="AY62" i="14"/>
  <c r="AY57" i="14"/>
  <c r="AY52" i="14"/>
  <c r="AY45" i="14"/>
  <c r="AY40" i="14"/>
  <c r="AY35" i="14"/>
  <c r="AY28" i="14"/>
  <c r="AM62" i="14"/>
  <c r="AM57" i="14"/>
  <c r="AM52" i="14"/>
  <c r="AM45" i="14"/>
  <c r="AM40" i="14"/>
  <c r="AM35" i="14"/>
  <c r="AM28" i="14"/>
  <c r="AI62" i="14"/>
  <c r="AH62" i="14"/>
  <c r="AC62" i="14"/>
  <c r="AA62" i="14"/>
  <c r="AI57" i="14"/>
  <c r="AH57" i="14"/>
  <c r="AC57" i="14"/>
  <c r="AA57" i="14"/>
  <c r="AI52" i="14"/>
  <c r="AH52" i="14"/>
  <c r="AC52" i="14"/>
  <c r="AA52" i="14"/>
  <c r="AI45" i="14"/>
  <c r="AA45" i="14"/>
  <c r="AI40" i="14"/>
  <c r="AA40" i="14"/>
  <c r="AI35" i="14"/>
  <c r="AA35" i="14"/>
  <c r="AI28" i="14"/>
  <c r="AA28" i="14"/>
  <c r="W62" i="14"/>
  <c r="U62" i="14"/>
  <c r="T62" i="14"/>
  <c r="S62" i="14"/>
  <c r="R62" i="14"/>
  <c r="Q62" i="14"/>
  <c r="O62" i="14"/>
  <c r="W57" i="14"/>
  <c r="U57" i="14"/>
  <c r="T57" i="14"/>
  <c r="S57" i="14"/>
  <c r="R57" i="14"/>
  <c r="Q57" i="14"/>
  <c r="O57" i="14"/>
  <c r="W52" i="14"/>
  <c r="U52" i="14"/>
  <c r="T52" i="14"/>
  <c r="S52" i="14"/>
  <c r="R52" i="14"/>
  <c r="Q52" i="14"/>
  <c r="O52" i="14"/>
  <c r="W45" i="14"/>
  <c r="U45" i="14"/>
  <c r="T45" i="14"/>
  <c r="S45" i="14"/>
  <c r="R45" i="14"/>
  <c r="Q45" i="14"/>
  <c r="O45" i="14"/>
  <c r="W40" i="14"/>
  <c r="U40" i="14"/>
  <c r="T40" i="14"/>
  <c r="S40" i="14"/>
  <c r="R40" i="14"/>
  <c r="Q40" i="14"/>
  <c r="O40" i="14"/>
  <c r="W35" i="14"/>
  <c r="U35" i="14"/>
  <c r="T35" i="14"/>
  <c r="S35" i="14"/>
  <c r="R35" i="14"/>
  <c r="Q35" i="14"/>
  <c r="O35" i="14"/>
  <c r="W28" i="14"/>
  <c r="U28" i="14"/>
  <c r="T28" i="14"/>
  <c r="S28" i="14"/>
  <c r="R28" i="14"/>
  <c r="Q28" i="14"/>
  <c r="O28" i="14"/>
  <c r="K62" i="14"/>
  <c r="I62" i="14"/>
  <c r="H62" i="14"/>
  <c r="G62" i="14"/>
  <c r="F62" i="14"/>
  <c r="E62" i="14"/>
  <c r="D62" i="14"/>
  <c r="C62" i="14"/>
  <c r="K57" i="14"/>
  <c r="I57" i="14"/>
  <c r="H57" i="14"/>
  <c r="G57" i="14"/>
  <c r="F57" i="14"/>
  <c r="E57" i="14"/>
  <c r="D57" i="14"/>
  <c r="C57" i="14"/>
  <c r="K52" i="14"/>
  <c r="J52" i="14"/>
  <c r="I52" i="14"/>
  <c r="H52" i="14"/>
  <c r="G52" i="14"/>
  <c r="F52" i="14"/>
  <c r="E52" i="14"/>
  <c r="D52" i="14"/>
  <c r="C52" i="14"/>
  <c r="K45" i="14"/>
  <c r="J45" i="14"/>
  <c r="I45" i="14"/>
  <c r="H45" i="14"/>
  <c r="G45" i="14"/>
  <c r="F45" i="14"/>
  <c r="E45" i="14"/>
  <c r="D45" i="14"/>
  <c r="C45" i="14"/>
  <c r="K40" i="14"/>
  <c r="J40" i="14"/>
  <c r="I40" i="14"/>
  <c r="H40" i="14"/>
  <c r="G40" i="14"/>
  <c r="F40" i="14"/>
  <c r="E40" i="14"/>
  <c r="D40" i="14"/>
  <c r="C40" i="14"/>
  <c r="K35" i="14"/>
  <c r="J35" i="14"/>
  <c r="I35" i="14"/>
  <c r="H35" i="14"/>
  <c r="G35" i="14"/>
  <c r="F35" i="14"/>
  <c r="E35" i="14"/>
  <c r="D35" i="14"/>
  <c r="C35" i="14"/>
  <c r="K28" i="14"/>
  <c r="J28" i="14"/>
  <c r="I28" i="14"/>
  <c r="H28" i="14"/>
  <c r="G28" i="14"/>
  <c r="F28" i="14"/>
  <c r="E28" i="14"/>
  <c r="D28" i="14"/>
  <c r="C28" i="14"/>
  <c r="I19" i="2" a="1"/>
  <c r="I19" i="2" s="1"/>
  <c r="I18" i="2"/>
  <c r="I17" i="2"/>
  <c r="I16" i="2"/>
  <c r="I13" i="2"/>
  <c r="I12" i="2"/>
  <c r="I11" i="2"/>
  <c r="C65" i="14"/>
  <c r="K65" i="14" s="1"/>
  <c r="C64" i="14"/>
  <c r="H67" i="15" s="1"/>
  <c r="C63" i="14"/>
  <c r="K63" i="14" s="1"/>
  <c r="C60" i="14"/>
  <c r="J72" i="15" s="1"/>
  <c r="C59" i="14"/>
  <c r="G68" i="15" s="1"/>
  <c r="C58" i="14"/>
  <c r="D66" i="15" s="1"/>
  <c r="C55" i="14"/>
  <c r="I66" i="15" s="1"/>
  <c r="C54" i="14"/>
  <c r="F66" i="15" s="1"/>
  <c r="C53" i="14"/>
  <c r="C67" i="15" s="1"/>
  <c r="K48" i="14"/>
  <c r="K47" i="14"/>
  <c r="K43" i="14"/>
  <c r="G60" i="15"/>
  <c r="I55" i="15"/>
  <c r="F59" i="15"/>
  <c r="K31" i="14"/>
  <c r="K30" i="14"/>
  <c r="J47" i="15"/>
  <c r="G45" i="15"/>
  <c r="D44" i="15"/>
  <c r="K20" i="14"/>
  <c r="K22" i="14"/>
  <c r="L49" i="15" s="1"/>
  <c r="M47" i="15"/>
  <c r="K32" i="14"/>
  <c r="L59" i="15"/>
  <c r="K44" i="14"/>
  <c r="N56" i="15"/>
  <c r="C56" i="14"/>
  <c r="K56" i="14" s="1"/>
  <c r="C61" i="14"/>
  <c r="M71" i="15" s="1"/>
  <c r="C66" i="14"/>
  <c r="K66" i="14" s="1"/>
  <c r="J35" i="19"/>
  <c r="I35" i="19"/>
  <c r="H35" i="19"/>
  <c r="G35" i="19"/>
  <c r="F35" i="19"/>
  <c r="E35" i="19"/>
  <c r="D35" i="19"/>
  <c r="C35" i="19"/>
  <c r="J52" i="19"/>
  <c r="I52" i="19"/>
  <c r="H52" i="19"/>
  <c r="G52" i="19"/>
  <c r="F52" i="19"/>
  <c r="E52" i="19"/>
  <c r="D52" i="19"/>
  <c r="C52" i="19"/>
  <c r="C62" i="19"/>
  <c r="C57" i="19"/>
  <c r="J45" i="19"/>
  <c r="I45" i="19"/>
  <c r="H45" i="19"/>
  <c r="G45" i="19"/>
  <c r="F45" i="19"/>
  <c r="E45" i="19"/>
  <c r="D45" i="19"/>
  <c r="C45" i="19"/>
  <c r="J40" i="19"/>
  <c r="I40" i="19"/>
  <c r="H40" i="19"/>
  <c r="G40" i="19"/>
  <c r="F40" i="19"/>
  <c r="E40" i="19"/>
  <c r="D40" i="19"/>
  <c r="C40" i="19"/>
  <c r="J28" i="19"/>
  <c r="I28" i="19"/>
  <c r="H28" i="19"/>
  <c r="G28" i="19"/>
  <c r="F28" i="19"/>
  <c r="E28" i="19"/>
  <c r="D28" i="19"/>
  <c r="C28" i="19"/>
  <c r="E23" i="19"/>
  <c r="F23" i="19"/>
  <c r="G23" i="19"/>
  <c r="H23" i="19"/>
  <c r="I23" i="19"/>
  <c r="J23" i="19"/>
  <c r="D23" i="19"/>
  <c r="C23" i="19"/>
  <c r="U23" i="14"/>
  <c r="T23" i="14"/>
  <c r="S23" i="14"/>
  <c r="R23" i="14"/>
  <c r="Q23" i="14"/>
  <c r="E23" i="14"/>
  <c r="F23" i="14"/>
  <c r="G23" i="14"/>
  <c r="H23" i="14"/>
  <c r="I23" i="14"/>
  <c r="J23" i="14"/>
  <c r="D23" i="14"/>
  <c r="K23" i="14"/>
  <c r="N31" i="15"/>
  <c r="M31" i="15"/>
  <c r="L31" i="15"/>
  <c r="N30" i="15"/>
  <c r="M30" i="15"/>
  <c r="L30" i="15"/>
  <c r="N29" i="15"/>
  <c r="M29" i="15"/>
  <c r="L29" i="15"/>
  <c r="N28" i="15"/>
  <c r="M28" i="15"/>
  <c r="L28" i="15"/>
  <c r="N26" i="15"/>
  <c r="M26" i="15"/>
  <c r="L26" i="15"/>
  <c r="N25" i="15"/>
  <c r="M25" i="15"/>
  <c r="L25" i="15"/>
  <c r="N24" i="15"/>
  <c r="M24" i="15"/>
  <c r="L24" i="15"/>
  <c r="N23" i="15"/>
  <c r="M23" i="15"/>
  <c r="L23" i="15"/>
  <c r="N15" i="15"/>
  <c r="N13" i="15"/>
  <c r="N14" i="15" s="1"/>
  <c r="M15" i="15"/>
  <c r="M13" i="15"/>
  <c r="M14" i="15" s="1"/>
  <c r="L15" i="15"/>
  <c r="L13" i="15"/>
  <c r="L14" i="15" s="1"/>
  <c r="BG55" i="19"/>
  <c r="BG31" i="19"/>
  <c r="BG20" i="19"/>
  <c r="P32" i="10" a="1"/>
  <c r="P32" i="10" s="1"/>
  <c r="AU29" i="14"/>
  <c r="N13" i="10"/>
  <c r="M17" i="10"/>
  <c r="M34" i="10"/>
  <c r="M22" i="10"/>
  <c r="M39" i="10"/>
  <c r="P15" i="10" a="1"/>
  <c r="P15" i="10" s="1"/>
  <c r="P14" i="10" a="1"/>
  <c r="P14" i="10" s="1"/>
  <c r="P31" i="10" a="1"/>
  <c r="P31" i="10" s="1"/>
  <c r="P24" i="10" a="1"/>
  <c r="P24" i="10" s="1"/>
  <c r="P21" i="10" a="1"/>
  <c r="P21" i="10" s="1"/>
  <c r="P20" i="10" a="1"/>
  <c r="P20" i="10" s="1"/>
  <c r="P19" i="10" a="1"/>
  <c r="P19" i="10" s="1"/>
  <c r="P16" i="10" a="1"/>
  <c r="P16" i="10" s="1"/>
  <c r="I12" i="11"/>
  <c r="K12" i="11" s="1"/>
  <c r="O66" i="14"/>
  <c r="N110" i="15" s="1"/>
  <c r="D13" i="15"/>
  <c r="D14" i="15" s="1"/>
  <c r="A2" i="22"/>
  <c r="D4" i="15"/>
  <c r="E31" i="15"/>
  <c r="C31" i="15"/>
  <c r="E30" i="15"/>
  <c r="D30" i="15"/>
  <c r="C30" i="15"/>
  <c r="E29" i="15"/>
  <c r="C29" i="15"/>
  <c r="D28" i="15"/>
  <c r="E26" i="15"/>
  <c r="D26" i="15"/>
  <c r="C26" i="15"/>
  <c r="E24" i="15"/>
  <c r="D24" i="15"/>
  <c r="E23" i="15"/>
  <c r="D23" i="15"/>
  <c r="G13" i="15"/>
  <c r="G14" i="15" s="1"/>
  <c r="N113" i="15"/>
  <c r="AU65" i="19"/>
  <c r="AU43" i="19"/>
  <c r="AU26" i="19"/>
  <c r="AI26" i="19"/>
  <c r="AI48" i="19"/>
  <c r="W55" i="19"/>
  <c r="W38" i="19"/>
  <c r="K43" i="19"/>
  <c r="AW51" i="19"/>
  <c r="BG38" i="14"/>
  <c r="BG42" i="14"/>
  <c r="BG44" i="14"/>
  <c r="M219" i="15" s="1"/>
  <c r="AY54" i="14"/>
  <c r="AY55" i="14"/>
  <c r="BG55" i="14" s="1"/>
  <c r="AY56" i="14"/>
  <c r="AY59" i="14"/>
  <c r="AY60" i="14"/>
  <c r="AY61" i="14"/>
  <c r="AY64" i="14"/>
  <c r="AY65" i="14"/>
  <c r="BG65" i="14" s="1"/>
  <c r="AY66" i="14"/>
  <c r="BG66" i="14" s="1"/>
  <c r="AM65" i="14"/>
  <c r="AU65" i="14" s="1"/>
  <c r="AM60" i="14"/>
  <c r="AU60" i="14" s="1"/>
  <c r="J192" i="15" s="1"/>
  <c r="AM55" i="14"/>
  <c r="AU43" i="14"/>
  <c r="J180" i="15" s="1"/>
  <c r="AU38" i="14"/>
  <c r="O65" i="14"/>
  <c r="W65" i="14" s="1"/>
  <c r="O60" i="14"/>
  <c r="W60" i="14" s="1"/>
  <c r="O61" i="14"/>
  <c r="M107" i="15" s="1"/>
  <c r="O55" i="14"/>
  <c r="W55" i="14" s="1"/>
  <c r="O56" i="14"/>
  <c r="L108" i="15" s="1"/>
  <c r="K97" i="15"/>
  <c r="W43" i="14"/>
  <c r="W44" i="14"/>
  <c r="W38" i="14"/>
  <c r="W31" i="14"/>
  <c r="W26" i="14"/>
  <c r="M88" i="15"/>
  <c r="K60" i="14"/>
  <c r="AI48" i="14"/>
  <c r="AI43" i="14"/>
  <c r="AI31" i="14"/>
  <c r="AI26" i="14"/>
  <c r="J129" i="15" s="1"/>
  <c r="I122" i="15"/>
  <c r="AI38" i="14"/>
  <c r="AA65" i="14"/>
  <c r="AI65" i="14" s="1"/>
  <c r="AA60" i="14"/>
  <c r="AI60" i="14" s="1"/>
  <c r="AA55" i="14"/>
  <c r="AU26" i="14"/>
  <c r="J168" i="15" s="1"/>
  <c r="AU21" i="14"/>
  <c r="N42" i="10"/>
  <c r="P42" i="10" a="1"/>
  <c r="P42" i="10" s="1"/>
  <c r="P41" i="10" a="1"/>
  <c r="P41" i="10" s="1"/>
  <c r="P38" i="10" a="1"/>
  <c r="P38" i="10" s="1"/>
  <c r="N37" i="10"/>
  <c r="P37" i="10" a="1"/>
  <c r="P37" i="10" s="1"/>
  <c r="P36" i="10" a="1"/>
  <c r="P36" i="10" s="1"/>
  <c r="P33" i="10" a="1"/>
  <c r="P33" i="10" s="1"/>
  <c r="N32" i="10"/>
  <c r="P26" i="10" a="1"/>
  <c r="P26" i="10" s="1"/>
  <c r="P25" i="10" a="1"/>
  <c r="P25" i="10" s="1"/>
  <c r="N26" i="10"/>
  <c r="N25" i="10"/>
  <c r="N20" i="10"/>
  <c r="N15" i="10"/>
  <c r="I23" i="2"/>
  <c r="I22" i="2"/>
  <c r="I21" i="2"/>
  <c r="I24" i="11"/>
  <c r="K24" i="11" s="1"/>
  <c r="I20" i="11"/>
  <c r="K20" i="11" s="1"/>
  <c r="I15" i="11"/>
  <c r="K15" i="11" s="1"/>
  <c r="A3" i="23"/>
  <c r="A4" i="23"/>
  <c r="A5" i="23"/>
  <c r="A6" i="23"/>
  <c r="A7" i="23"/>
  <c r="A8" i="23"/>
  <c r="A9" i="23"/>
  <c r="A10" i="23"/>
  <c r="A11" i="23"/>
  <c r="A12" i="23"/>
  <c r="A13" i="23"/>
  <c r="A14" i="23"/>
  <c r="A15" i="23"/>
  <c r="A16" i="23"/>
  <c r="A17" i="23"/>
  <c r="A18" i="23"/>
  <c r="A19" i="23"/>
  <c r="A20" i="23"/>
  <c r="A21" i="23"/>
  <c r="A22" i="23"/>
  <c r="A23" i="23"/>
  <c r="A24" i="23"/>
  <c r="A25" i="23"/>
  <c r="A26" i="23"/>
  <c r="A2" i="23"/>
  <c r="F3" i="19"/>
  <c r="C7" i="19" s="1"/>
  <c r="N224" i="15"/>
  <c r="L218" i="15"/>
  <c r="X2" i="22"/>
  <c r="W2" i="22"/>
  <c r="V2" i="22"/>
  <c r="U2" i="22"/>
  <c r="T2" i="22"/>
  <c r="S2" i="22"/>
  <c r="R2" i="22"/>
  <c r="Q2" i="22"/>
  <c r="P2" i="22"/>
  <c r="O2" i="22"/>
  <c r="N2" i="22"/>
  <c r="M2" i="22"/>
  <c r="L2" i="22"/>
  <c r="K2" i="22"/>
  <c r="J2" i="22"/>
  <c r="I2" i="22"/>
  <c r="H2" i="22"/>
  <c r="G2" i="22"/>
  <c r="F2" i="22"/>
  <c r="E2" i="22"/>
  <c r="D2" i="22"/>
  <c r="C2" i="22"/>
  <c r="B2" i="22"/>
  <c r="AU66" i="19"/>
  <c r="W66" i="19"/>
  <c r="BG64" i="19"/>
  <c r="W64" i="19"/>
  <c r="K64" i="19"/>
  <c r="BG62" i="19"/>
  <c r="AU62" i="19"/>
  <c r="AI62" i="19"/>
  <c r="W62" i="19"/>
  <c r="K62" i="19"/>
  <c r="AU59" i="19"/>
  <c r="BG57" i="19"/>
  <c r="AU57" i="19"/>
  <c r="AI57" i="19"/>
  <c r="W57" i="19"/>
  <c r="K57" i="19"/>
  <c r="AI56" i="19"/>
  <c r="BG52" i="19"/>
  <c r="AU52" i="19"/>
  <c r="AI52" i="19"/>
  <c r="W52" i="19"/>
  <c r="K52" i="19"/>
  <c r="BG51" i="19"/>
  <c r="AU51" i="19"/>
  <c r="AK51" i="19"/>
  <c r="AI51" i="19"/>
  <c r="Y51" i="19"/>
  <c r="W51" i="19"/>
  <c r="M51" i="19"/>
  <c r="K51" i="19"/>
  <c r="BG49" i="19"/>
  <c r="AU47" i="19"/>
  <c r="BG45" i="19"/>
  <c r="AU45" i="19"/>
  <c r="AI45" i="19"/>
  <c r="W45" i="19"/>
  <c r="K45" i="19"/>
  <c r="K44" i="19"/>
  <c r="BG42" i="19"/>
  <c r="AU42" i="19"/>
  <c r="W42" i="19"/>
  <c r="BG40" i="19"/>
  <c r="AU40" i="19"/>
  <c r="AI40" i="19"/>
  <c r="W40" i="19"/>
  <c r="K40" i="19"/>
  <c r="AI39" i="19"/>
  <c r="BG37" i="19"/>
  <c r="K37" i="19"/>
  <c r="BG35" i="19"/>
  <c r="AI35" i="19"/>
  <c r="W35" i="19"/>
  <c r="K35" i="19"/>
  <c r="BG34" i="19"/>
  <c r="AW34" i="19"/>
  <c r="AU34" i="19"/>
  <c r="AK34" i="19"/>
  <c r="AI34" i="19"/>
  <c r="Y34" i="19"/>
  <c r="W34" i="19"/>
  <c r="M34" i="19"/>
  <c r="K34" i="19"/>
  <c r="BG32" i="19"/>
  <c r="AU32" i="19"/>
  <c r="K32" i="19"/>
  <c r="W30" i="19"/>
  <c r="BG28" i="19"/>
  <c r="AU28" i="19"/>
  <c r="AI28" i="19"/>
  <c r="W28" i="19"/>
  <c r="K28" i="19"/>
  <c r="BG27" i="19"/>
  <c r="AI27" i="19"/>
  <c r="K25" i="19"/>
  <c r="BG23" i="19"/>
  <c r="AU23" i="19"/>
  <c r="AI23" i="19"/>
  <c r="W23" i="19"/>
  <c r="K23" i="19"/>
  <c r="AI20" i="19"/>
  <c r="F3" i="14"/>
  <c r="C7" i="14" s="1"/>
  <c r="I15" i="15"/>
  <c r="F15" i="15"/>
  <c r="C15" i="15"/>
  <c r="F13" i="15"/>
  <c r="F14" i="15" s="1"/>
  <c r="C23" i="14"/>
  <c r="N48" i="15"/>
  <c r="F43" i="15"/>
  <c r="F3" i="21"/>
  <c r="A51" i="21"/>
  <c r="A34" i="21"/>
  <c r="C6" i="21"/>
  <c r="C5" i="21"/>
  <c r="C7" i="21"/>
  <c r="AY63" i="14"/>
  <c r="BG63" i="14" s="1"/>
  <c r="E231" i="15" s="1"/>
  <c r="AY53" i="14"/>
  <c r="AM66" i="14"/>
  <c r="AM64" i="14"/>
  <c r="AU64" i="14" s="1"/>
  <c r="AM63" i="14"/>
  <c r="AM61" i="14"/>
  <c r="AM59" i="14"/>
  <c r="AU59" i="14" s="1"/>
  <c r="AM54" i="14"/>
  <c r="AM56" i="14"/>
  <c r="BG46" i="14"/>
  <c r="BG41" i="14"/>
  <c r="AU49" i="14"/>
  <c r="N180" i="15" s="1"/>
  <c r="AU47" i="14"/>
  <c r="H180" i="15" s="1"/>
  <c r="AU42" i="14"/>
  <c r="G180" i="15" s="1"/>
  <c r="AA66" i="14"/>
  <c r="N152" i="15" s="1"/>
  <c r="AA64" i="14"/>
  <c r="AI64" i="14" s="1"/>
  <c r="AA63" i="14"/>
  <c r="AI63" i="14" s="1"/>
  <c r="AA61" i="14"/>
  <c r="AI61" i="14" s="1"/>
  <c r="AA59" i="14"/>
  <c r="G151" i="15" s="1"/>
  <c r="AA58" i="14"/>
  <c r="AI58" i="14" s="1"/>
  <c r="AA54" i="14"/>
  <c r="AI54" i="14" s="1"/>
  <c r="AA56" i="14"/>
  <c r="AI56" i="14" s="1"/>
  <c r="AA53" i="14"/>
  <c r="AI53" i="14" s="1"/>
  <c r="N139" i="15"/>
  <c r="H137" i="15"/>
  <c r="AI44" i="14"/>
  <c r="G140" i="15"/>
  <c r="F136" i="15"/>
  <c r="L136" i="15"/>
  <c r="C136" i="15"/>
  <c r="O64" i="14"/>
  <c r="H108" i="15" s="1"/>
  <c r="O63" i="14"/>
  <c r="E109" i="15" s="1"/>
  <c r="O59" i="14"/>
  <c r="G109" i="15" s="1"/>
  <c r="O54" i="14"/>
  <c r="W54" i="14" s="1"/>
  <c r="O53" i="14"/>
  <c r="W53" i="14" s="1"/>
  <c r="W49" i="14"/>
  <c r="H95" i="15"/>
  <c r="E100" i="15"/>
  <c r="G97" i="15"/>
  <c r="W37" i="14"/>
  <c r="W39" i="14"/>
  <c r="BG29" i="14"/>
  <c r="AU30" i="14"/>
  <c r="AI32" i="14"/>
  <c r="AI30" i="14"/>
  <c r="M122" i="15"/>
  <c r="G122" i="15"/>
  <c r="D124" i="15"/>
  <c r="F128" i="15"/>
  <c r="L122" i="15"/>
  <c r="W32" i="14"/>
  <c r="W30" i="14"/>
  <c r="E89" i="15"/>
  <c r="G89" i="15"/>
  <c r="F88" i="15"/>
  <c r="L88" i="15"/>
  <c r="N123" i="15"/>
  <c r="F127" i="15"/>
  <c r="I206" i="15"/>
  <c r="I200" i="15"/>
  <c r="A51" i="19"/>
  <c r="A34" i="19"/>
  <c r="N43" i="10"/>
  <c r="N41" i="10"/>
  <c r="N38" i="10"/>
  <c r="N36" i="10"/>
  <c r="N24" i="10"/>
  <c r="N21" i="10"/>
  <c r="N19" i="10"/>
  <c r="N33" i="10"/>
  <c r="N31" i="10"/>
  <c r="N16" i="10"/>
  <c r="N14" i="10"/>
  <c r="AI51" i="14"/>
  <c r="AI37" i="14"/>
  <c r="AI34" i="14"/>
  <c r="AI23" i="14"/>
  <c r="W66" i="14"/>
  <c r="W51" i="14"/>
  <c r="W47" i="14"/>
  <c r="H102" i="15" s="1"/>
  <c r="W34" i="14"/>
  <c r="W23" i="14"/>
  <c r="K64" i="14"/>
  <c r="I25" i="11"/>
  <c r="K25" i="11" s="1"/>
  <c r="I23" i="11"/>
  <c r="I22" i="11"/>
  <c r="K22" i="11" s="1"/>
  <c r="I19" i="11"/>
  <c r="K19" i="11" s="1"/>
  <c r="I18" i="11"/>
  <c r="I17" i="11"/>
  <c r="I14" i="11"/>
  <c r="I13" i="11"/>
  <c r="K13" i="11" s="1"/>
  <c r="E3" i="10"/>
  <c r="D3" i="2"/>
  <c r="D3" i="11"/>
  <c r="O23" i="14"/>
  <c r="AA23" i="14"/>
  <c r="AM23" i="14"/>
  <c r="AY23" i="14"/>
  <c r="A34" i="14"/>
  <c r="K34" i="14"/>
  <c r="M34" i="14"/>
  <c r="O34" i="14"/>
  <c r="Q34" i="14"/>
  <c r="R34" i="14"/>
  <c r="S34" i="14"/>
  <c r="T34" i="14"/>
  <c r="U34" i="14"/>
  <c r="Y34" i="14"/>
  <c r="AA34" i="14"/>
  <c r="AK34" i="14"/>
  <c r="AM34" i="14"/>
  <c r="AW34" i="14"/>
  <c r="AY34" i="14"/>
  <c r="A51" i="14"/>
  <c r="C51" i="14"/>
  <c r="D51" i="14"/>
  <c r="E51" i="14"/>
  <c r="F51" i="14"/>
  <c r="G51" i="14"/>
  <c r="H51" i="14"/>
  <c r="I51" i="14"/>
  <c r="K51" i="14"/>
  <c r="M51" i="14"/>
  <c r="O51" i="14"/>
  <c r="Q51" i="14"/>
  <c r="R51" i="14"/>
  <c r="S51" i="14"/>
  <c r="T51" i="14"/>
  <c r="U51" i="14"/>
  <c r="Y51" i="14"/>
  <c r="AA51" i="14"/>
  <c r="AC51" i="14"/>
  <c r="AK51" i="14"/>
  <c r="AM51" i="14"/>
  <c r="AW51" i="14"/>
  <c r="AY51" i="14"/>
  <c r="K215" i="15"/>
  <c r="G214" i="15"/>
  <c r="K149" i="15"/>
  <c r="K146" i="15"/>
  <c r="G100" i="15"/>
  <c r="G164" i="15"/>
  <c r="I136" i="15"/>
  <c r="F134" i="15"/>
  <c r="G200" i="15"/>
  <c r="K227" i="15"/>
  <c r="K224" i="15"/>
  <c r="P43" i="10" a="1"/>
  <c r="P43" i="10" s="1"/>
  <c r="C19" i="2"/>
  <c r="F14" i="2"/>
  <c r="F19" i="2"/>
  <c r="E14" i="2"/>
  <c r="E19" i="2"/>
  <c r="D14" i="2"/>
  <c r="D19" i="2"/>
  <c r="C14" i="2"/>
  <c r="G14" i="2"/>
  <c r="G19" i="2"/>
  <c r="J13" i="15"/>
  <c r="J14" i="15" s="1"/>
  <c r="D15" i="15"/>
  <c r="J15" i="15"/>
  <c r="G15" i="15"/>
  <c r="E15" i="15"/>
  <c r="H15" i="15"/>
  <c r="E13" i="15"/>
  <c r="E14" i="15" s="1"/>
  <c r="K13" i="15"/>
  <c r="K14" i="15" s="1"/>
  <c r="K15" i="15"/>
  <c r="H13" i="15"/>
  <c r="H14" i="15" s="1"/>
  <c r="K12" i="10"/>
  <c r="J12" i="10"/>
  <c r="I12" i="10"/>
  <c r="H12" i="10"/>
  <c r="N39" i="10"/>
  <c r="L39" i="10"/>
  <c r="G39" i="10"/>
  <c r="F39" i="10"/>
  <c r="E39" i="10"/>
  <c r="D39" i="10"/>
  <c r="C39" i="10"/>
  <c r="N34" i="10"/>
  <c r="L34" i="10"/>
  <c r="G34" i="10"/>
  <c r="F34" i="10"/>
  <c r="E34" i="10"/>
  <c r="D34" i="10"/>
  <c r="C34" i="10"/>
  <c r="N29" i="10"/>
  <c r="M29" i="10"/>
  <c r="L29" i="10"/>
  <c r="G29" i="10"/>
  <c r="F29" i="10"/>
  <c r="E29" i="10"/>
  <c r="D29" i="10"/>
  <c r="C29" i="10"/>
  <c r="N22" i="10"/>
  <c r="L22" i="10"/>
  <c r="G22" i="10"/>
  <c r="F22" i="10"/>
  <c r="E22" i="10"/>
  <c r="D22" i="10"/>
  <c r="C22" i="10"/>
  <c r="N17" i="10"/>
  <c r="L17" i="10"/>
  <c r="G17" i="10"/>
  <c r="F17" i="10"/>
  <c r="E17" i="10"/>
  <c r="D17" i="10"/>
  <c r="C17" i="10"/>
  <c r="I26" i="15"/>
  <c r="I25" i="15"/>
  <c r="F24" i="15"/>
  <c r="F23" i="15"/>
  <c r="F26" i="15"/>
  <c r="F25" i="15"/>
  <c r="I24" i="15"/>
  <c r="I23" i="15"/>
  <c r="G24" i="15"/>
  <c r="G23" i="15"/>
  <c r="J26" i="15"/>
  <c r="J25" i="15"/>
  <c r="J24" i="15"/>
  <c r="J23" i="15"/>
  <c r="G26" i="15"/>
  <c r="G25" i="15"/>
  <c r="K24" i="15"/>
  <c r="K23" i="15"/>
  <c r="H26" i="15"/>
  <c r="H25" i="15"/>
  <c r="H24" i="15"/>
  <c r="H23" i="15"/>
  <c r="K26" i="15"/>
  <c r="K25" i="15"/>
  <c r="J39" i="10"/>
  <c r="J34" i="10"/>
  <c r="J29" i="10"/>
  <c r="J22" i="10"/>
  <c r="J17" i="10"/>
  <c r="H39" i="10"/>
  <c r="H34" i="10"/>
  <c r="H29" i="10"/>
  <c r="H22" i="10"/>
  <c r="H17" i="10"/>
  <c r="I29" i="10"/>
  <c r="I22" i="10"/>
  <c r="I39" i="10"/>
  <c r="I34" i="10"/>
  <c r="I17" i="10"/>
  <c r="K39" i="10"/>
  <c r="K34" i="10"/>
  <c r="K29" i="10"/>
  <c r="K22" i="10"/>
  <c r="K17" i="10"/>
  <c r="J31" i="15"/>
  <c r="K30" i="15"/>
  <c r="F31" i="15"/>
  <c r="K31" i="15"/>
  <c r="H31" i="15"/>
  <c r="H30" i="15"/>
  <c r="J28" i="15"/>
  <c r="F30" i="15"/>
  <c r="I28" i="15"/>
  <c r="K28" i="15"/>
  <c r="H28" i="15"/>
  <c r="J29" i="15"/>
  <c r="G28" i="15"/>
  <c r="I31" i="15"/>
  <c r="I29" i="15"/>
  <c r="K29" i="15"/>
  <c r="H29" i="15"/>
  <c r="G29" i="15"/>
  <c r="J30" i="15"/>
  <c r="G30" i="15"/>
  <c r="F28" i="15"/>
  <c r="G31" i="15"/>
  <c r="I30" i="15"/>
  <c r="F29" i="15"/>
  <c r="H10" i="11"/>
  <c r="G10" i="11"/>
  <c r="E10" i="11"/>
  <c r="C10" i="11"/>
  <c r="M28" i="10"/>
  <c r="D10" i="11"/>
  <c r="A28" i="10"/>
  <c r="N28" i="10"/>
  <c r="L28" i="10"/>
  <c r="K28" i="10"/>
  <c r="J28" i="10"/>
  <c r="I28" i="10"/>
  <c r="H28" i="10"/>
  <c r="G28" i="10"/>
  <c r="F28" i="10"/>
  <c r="E28" i="10"/>
  <c r="D28" i="10"/>
  <c r="C28" i="10"/>
  <c r="H206" i="15" l="1"/>
  <c r="BG30" i="14"/>
  <c r="BI30" i="14" s="1"/>
  <c r="K205" i="15"/>
  <c r="BG31" i="14"/>
  <c r="K207" i="15" s="1"/>
  <c r="N206" i="15"/>
  <c r="BG32" i="14"/>
  <c r="N207" i="15" s="1"/>
  <c r="H217" i="15"/>
  <c r="BG47" i="14"/>
  <c r="K218" i="15"/>
  <c r="BG48" i="14"/>
  <c r="N218" i="15"/>
  <c r="BG49" i="14"/>
  <c r="H226" i="15"/>
  <c r="BG64" i="14"/>
  <c r="K175" i="15"/>
  <c r="AU48" i="14"/>
  <c r="K163" i="15"/>
  <c r="AU31" i="14"/>
  <c r="N191" i="15"/>
  <c r="AU66" i="14"/>
  <c r="E187" i="15"/>
  <c r="AU63" i="14"/>
  <c r="N167" i="15"/>
  <c r="AU32" i="14"/>
  <c r="G205" i="15"/>
  <c r="BG25" i="14"/>
  <c r="J206" i="15"/>
  <c r="BG26" i="14"/>
  <c r="M205" i="15"/>
  <c r="BG27" i="14"/>
  <c r="J218" i="15"/>
  <c r="BG43" i="14"/>
  <c r="G225" i="15"/>
  <c r="BG59" i="14"/>
  <c r="J225" i="15"/>
  <c r="BG60" i="14"/>
  <c r="M226" i="15"/>
  <c r="BG61" i="14"/>
  <c r="M185" i="15"/>
  <c r="AU61" i="14"/>
  <c r="M179" i="15"/>
  <c r="AU44" i="14"/>
  <c r="M180" i="15" s="1"/>
  <c r="M164" i="15"/>
  <c r="AU27" i="14"/>
  <c r="G166" i="15"/>
  <c r="AU25" i="14"/>
  <c r="BG36" i="14"/>
  <c r="BG19" i="14"/>
  <c r="AU19" i="14"/>
  <c r="F206" i="15"/>
  <c r="BG20" i="14"/>
  <c r="I203" i="15"/>
  <c r="BG21" i="14"/>
  <c r="L205" i="15"/>
  <c r="BG22" i="14"/>
  <c r="F218" i="15"/>
  <c r="BG37" i="14"/>
  <c r="L217" i="15"/>
  <c r="L216" i="15" s="1"/>
  <c r="BG39" i="14"/>
  <c r="L219" i="15" s="1"/>
  <c r="F229" i="15"/>
  <c r="BG54" i="14"/>
  <c r="L225" i="15"/>
  <c r="BG56" i="14"/>
  <c r="I186" i="15"/>
  <c r="AU55" i="14"/>
  <c r="C227" i="15"/>
  <c r="BG53" i="14"/>
  <c r="C231" i="15" s="1"/>
  <c r="F187" i="15"/>
  <c r="AU54" i="14"/>
  <c r="L191" i="15"/>
  <c r="AU56" i="14"/>
  <c r="L192" i="15" s="1"/>
  <c r="F179" i="15"/>
  <c r="AU37" i="14"/>
  <c r="F180" i="15" s="1"/>
  <c r="L173" i="15"/>
  <c r="AU39" i="14"/>
  <c r="F162" i="15"/>
  <c r="AU20" i="14"/>
  <c r="L167" i="15"/>
  <c r="AU22" i="14"/>
  <c r="I219" i="15"/>
  <c r="W21" i="14"/>
  <c r="I44" i="15"/>
  <c r="E45" i="15"/>
  <c r="C6" i="19"/>
  <c r="I168" i="15"/>
  <c r="C84" i="15"/>
  <c r="C123" i="15"/>
  <c r="AI19" i="14"/>
  <c r="C129" i="15" s="1"/>
  <c r="C206" i="15"/>
  <c r="F49" i="15"/>
  <c r="K19" i="14"/>
  <c r="C49" i="15" s="1"/>
  <c r="C57" i="15"/>
  <c r="H101" i="15"/>
  <c r="H96" i="15"/>
  <c r="H100" i="15"/>
  <c r="H188" i="15"/>
  <c r="H72" i="15"/>
  <c r="H185" i="15"/>
  <c r="H71" i="15"/>
  <c r="H70" i="15" s="1"/>
  <c r="G101" i="15"/>
  <c r="G99" i="15" s="1"/>
  <c r="G128" i="15"/>
  <c r="G125" i="15"/>
  <c r="G162" i="15"/>
  <c r="F207" i="15"/>
  <c r="F200" i="15"/>
  <c r="K201" i="15"/>
  <c r="K84" i="15"/>
  <c r="K88" i="15"/>
  <c r="I201" i="15"/>
  <c r="M60" i="15"/>
  <c r="E230" i="15"/>
  <c r="M59" i="15"/>
  <c r="N192" i="15"/>
  <c r="K203" i="15"/>
  <c r="J124" i="15"/>
  <c r="J127" i="15"/>
  <c r="K213" i="15"/>
  <c r="L134" i="15"/>
  <c r="N71" i="15"/>
  <c r="N69" i="15"/>
  <c r="M201" i="15"/>
  <c r="N134" i="15"/>
  <c r="M206" i="15"/>
  <c r="M204" i="15" s="1"/>
  <c r="M202" i="15"/>
  <c r="D151" i="15"/>
  <c r="M203" i="15"/>
  <c r="G161" i="15"/>
  <c r="F89" i="15"/>
  <c r="F87" i="15" s="1"/>
  <c r="H54" i="15"/>
  <c r="M207" i="15"/>
  <c r="H44" i="15"/>
  <c r="N203" i="15"/>
  <c r="K137" i="15"/>
  <c r="K57" i="15"/>
  <c r="I213" i="15"/>
  <c r="N219" i="15"/>
  <c r="I47" i="15"/>
  <c r="K124" i="15"/>
  <c r="K136" i="15"/>
  <c r="F202" i="15"/>
  <c r="I48" i="15"/>
  <c r="K107" i="15"/>
  <c r="G163" i="15"/>
  <c r="F83" i="15"/>
  <c r="L188" i="15"/>
  <c r="K127" i="15"/>
  <c r="G44" i="15"/>
  <c r="I45" i="15"/>
  <c r="N186" i="15"/>
  <c r="K186" i="15"/>
  <c r="F203" i="15"/>
  <c r="K140" i="15"/>
  <c r="AI22" i="14"/>
  <c r="L129" i="15" s="1"/>
  <c r="N178" i="15"/>
  <c r="K109" i="15"/>
  <c r="F205" i="15"/>
  <c r="F204" i="15" s="1"/>
  <c r="G206" i="15"/>
  <c r="K190" i="15"/>
  <c r="H149" i="15"/>
  <c r="D128" i="15"/>
  <c r="AI42" i="14"/>
  <c r="G141" i="15" s="1"/>
  <c r="L162" i="15"/>
  <c r="G137" i="15"/>
  <c r="G167" i="15"/>
  <c r="L168" i="15"/>
  <c r="M128" i="15"/>
  <c r="D123" i="15"/>
  <c r="D127" i="15"/>
  <c r="AI27" i="14"/>
  <c r="M129" i="15" s="1"/>
  <c r="J134" i="15"/>
  <c r="J205" i="15"/>
  <c r="J204" i="15" s="1"/>
  <c r="F201" i="15"/>
  <c r="M124" i="15"/>
  <c r="W42" i="14"/>
  <c r="G102" i="15" s="1"/>
  <c r="J203" i="15"/>
  <c r="G96" i="15"/>
  <c r="J122" i="15"/>
  <c r="G168" i="15"/>
  <c r="I88" i="15"/>
  <c r="M166" i="15"/>
  <c r="D122" i="15"/>
  <c r="D125" i="15"/>
  <c r="AI25" i="14"/>
  <c r="G129" i="15" s="1"/>
  <c r="D42" i="15"/>
  <c r="J162" i="15"/>
  <c r="M173" i="15"/>
  <c r="G207" i="15"/>
  <c r="J48" i="15"/>
  <c r="J46" i="15" s="1"/>
  <c r="M83" i="15"/>
  <c r="G202" i="15"/>
  <c r="J125" i="15"/>
  <c r="D152" i="15"/>
  <c r="I89" i="15"/>
  <c r="G48" i="15"/>
  <c r="M200" i="15"/>
  <c r="I85" i="15"/>
  <c r="L127" i="15"/>
  <c r="L163" i="15"/>
  <c r="C109" i="15"/>
  <c r="F166" i="15"/>
  <c r="I83" i="15"/>
  <c r="K54" i="14"/>
  <c r="F167" i="15"/>
  <c r="L68" i="15"/>
  <c r="F161" i="15"/>
  <c r="L67" i="15"/>
  <c r="W56" i="14"/>
  <c r="L114" i="15" s="1"/>
  <c r="I43" i="15"/>
  <c r="F47" i="15"/>
  <c r="C55" i="15"/>
  <c r="K37" i="14"/>
  <c r="F61" i="15" s="1"/>
  <c r="C88" i="15"/>
  <c r="F44" i="15"/>
  <c r="C89" i="15"/>
  <c r="C86" i="15"/>
  <c r="C83" i="15"/>
  <c r="F42" i="15"/>
  <c r="C128" i="15"/>
  <c r="F48" i="15"/>
  <c r="F45" i="15"/>
  <c r="L125" i="15"/>
  <c r="AI39" i="14"/>
  <c r="L141" i="15" s="1"/>
  <c r="L123" i="15"/>
  <c r="I54" i="15"/>
  <c r="I207" i="15"/>
  <c r="I166" i="15"/>
  <c r="I176" i="15"/>
  <c r="I217" i="15"/>
  <c r="C110" i="15"/>
  <c r="I205" i="15"/>
  <c r="I204" i="15" s="1"/>
  <c r="F175" i="15"/>
  <c r="C200" i="15"/>
  <c r="I202" i="15"/>
  <c r="F60" i="15"/>
  <c r="F58" i="15" s="1"/>
  <c r="F168" i="15"/>
  <c r="F54" i="15"/>
  <c r="F224" i="15"/>
  <c r="F164" i="15"/>
  <c r="L224" i="15"/>
  <c r="F163" i="15"/>
  <c r="L86" i="15"/>
  <c r="K16" i="11" a="1"/>
  <c r="K16" i="11" s="1"/>
  <c r="W64" i="14"/>
  <c r="H114" i="15" s="1"/>
  <c r="M48" i="15"/>
  <c r="M46" i="15" s="1"/>
  <c r="G86" i="15"/>
  <c r="W25" i="14"/>
  <c r="G90" i="15" s="1"/>
  <c r="M42" i="15"/>
  <c r="G85" i="15"/>
  <c r="W27" i="14"/>
  <c r="M90" i="15" s="1"/>
  <c r="J55" i="15"/>
  <c r="L48" i="15"/>
  <c r="I108" i="15"/>
  <c r="C45" i="15"/>
  <c r="I112" i="15"/>
  <c r="L42" i="15"/>
  <c r="L43" i="15"/>
  <c r="L45" i="15"/>
  <c r="L44" i="15"/>
  <c r="L47" i="15"/>
  <c r="H55" i="15"/>
  <c r="K47" i="15"/>
  <c r="K43" i="15"/>
  <c r="E66" i="15"/>
  <c r="E68" i="15"/>
  <c r="M84" i="15"/>
  <c r="M69" i="15"/>
  <c r="M85" i="15"/>
  <c r="K25" i="14"/>
  <c r="G49" i="15" s="1"/>
  <c r="K55" i="14"/>
  <c r="I73" i="15" s="1"/>
  <c r="C85" i="15"/>
  <c r="I84" i="15"/>
  <c r="F85" i="15"/>
  <c r="C47" i="15"/>
  <c r="L107" i="15"/>
  <c r="F84" i="15"/>
  <c r="K21" i="14"/>
  <c r="I49" i="15" s="1"/>
  <c r="F108" i="15"/>
  <c r="W20" i="14"/>
  <c r="F90" i="15" s="1"/>
  <c r="I86" i="15"/>
  <c r="F86" i="15"/>
  <c r="C44" i="15"/>
  <c r="C48" i="15"/>
  <c r="C43" i="15"/>
  <c r="C42" i="15"/>
  <c r="H173" i="15"/>
  <c r="E146" i="15"/>
  <c r="K49" i="14"/>
  <c r="N61" i="15" s="1"/>
  <c r="W48" i="14"/>
  <c r="BI48" i="14" s="1"/>
  <c r="K100" i="15"/>
  <c r="E149" i="15"/>
  <c r="K29" i="14"/>
  <c r="E49" i="15" s="1"/>
  <c r="N57" i="15"/>
  <c r="N190" i="15"/>
  <c r="N189" i="15" s="1"/>
  <c r="AI47" i="14"/>
  <c r="BI47" i="14" s="1"/>
  <c r="H124" i="15"/>
  <c r="N85" i="15"/>
  <c r="M167" i="15"/>
  <c r="J42" i="15"/>
  <c r="M101" i="15"/>
  <c r="K26" i="14"/>
  <c r="J49" i="15" s="1"/>
  <c r="J88" i="15"/>
  <c r="G203" i="15"/>
  <c r="G123" i="15"/>
  <c r="G124" i="15"/>
  <c r="W59" i="14"/>
  <c r="G114" i="15" s="1"/>
  <c r="M125" i="15"/>
  <c r="M162" i="15"/>
  <c r="J44" i="15"/>
  <c r="M45" i="15"/>
  <c r="J207" i="15"/>
  <c r="M212" i="15"/>
  <c r="K27" i="14"/>
  <c r="M49" i="15" s="1"/>
  <c r="J85" i="15"/>
  <c r="J89" i="15"/>
  <c r="G84" i="15"/>
  <c r="G227" i="15"/>
  <c r="K61" i="14"/>
  <c r="M73" i="15" s="1"/>
  <c r="M147" i="15"/>
  <c r="M44" i="15"/>
  <c r="G83" i="15"/>
  <c r="G88" i="15"/>
  <c r="G87" i="15" s="1"/>
  <c r="J174" i="15"/>
  <c r="G230" i="15"/>
  <c r="J200" i="15"/>
  <c r="J201" i="15"/>
  <c r="J128" i="15"/>
  <c r="J213" i="15"/>
  <c r="K42" i="14"/>
  <c r="G61" i="15" s="1"/>
  <c r="M127" i="15"/>
  <c r="M163" i="15"/>
  <c r="J43" i="15"/>
  <c r="M43" i="15"/>
  <c r="K58" i="14"/>
  <c r="D73" i="15" s="1"/>
  <c r="W61" i="14"/>
  <c r="M114" i="15" s="1"/>
  <c r="M134" i="15"/>
  <c r="J83" i="15"/>
  <c r="G146" i="15"/>
  <c r="M168" i="15"/>
  <c r="J84" i="15"/>
  <c r="J179" i="15"/>
  <c r="G224" i="15"/>
  <c r="G201" i="15"/>
  <c r="J123" i="15"/>
  <c r="AI59" i="14"/>
  <c r="G153" i="15" s="1"/>
  <c r="M123" i="15"/>
  <c r="M161" i="15"/>
  <c r="J45" i="15"/>
  <c r="G127" i="15"/>
  <c r="J86" i="15"/>
  <c r="J202" i="15"/>
  <c r="M98" i="15"/>
  <c r="M230" i="15"/>
  <c r="K24" i="14"/>
  <c r="D49" i="15" s="1"/>
  <c r="I167" i="15"/>
  <c r="L166" i="15"/>
  <c r="L165" i="15" s="1"/>
  <c r="I161" i="15"/>
  <c r="C202" i="15"/>
  <c r="I162" i="15"/>
  <c r="L161" i="15"/>
  <c r="I163" i="15"/>
  <c r="I164" i="15"/>
  <c r="L185" i="15"/>
  <c r="I225" i="15"/>
  <c r="L164" i="15"/>
  <c r="F124" i="15"/>
  <c r="L83" i="15"/>
  <c r="C127" i="15"/>
  <c r="L84" i="15"/>
  <c r="L146" i="15"/>
  <c r="L85" i="15"/>
  <c r="F125" i="15"/>
  <c r="L128" i="15"/>
  <c r="F123" i="15"/>
  <c r="C122" i="15"/>
  <c r="L124" i="15"/>
  <c r="W22" i="14"/>
  <c r="L90" i="15" s="1"/>
  <c r="F122" i="15"/>
  <c r="AI20" i="14"/>
  <c r="F129" i="15" s="1"/>
  <c r="L89" i="15"/>
  <c r="L87" i="15" s="1"/>
  <c r="C125" i="15"/>
  <c r="K39" i="14"/>
  <c r="L61" i="15" s="1"/>
  <c r="F68" i="15"/>
  <c r="K38" i="14"/>
  <c r="BI38" i="14" s="1"/>
  <c r="I57" i="15"/>
  <c r="K36" i="14"/>
  <c r="C61" i="15" s="1"/>
  <c r="L55" i="15"/>
  <c r="C5" i="19"/>
  <c r="C5" i="14"/>
  <c r="C6" i="14"/>
  <c r="W41" i="19"/>
  <c r="W36" i="19"/>
  <c r="W63" i="19"/>
  <c r="AU46" i="19"/>
  <c r="AU36" i="19"/>
  <c r="W46" i="19"/>
  <c r="BG24" i="19"/>
  <c r="BG29" i="19"/>
  <c r="AI29" i="19"/>
  <c r="W29" i="19"/>
  <c r="W19" i="19"/>
  <c r="C207" i="15"/>
  <c r="N146" i="15"/>
  <c r="AI66" i="14"/>
  <c r="N148" i="15"/>
  <c r="K41" i="14"/>
  <c r="D61" i="15" s="1"/>
  <c r="D219" i="15"/>
  <c r="E218" i="15"/>
  <c r="C219" i="15"/>
  <c r="AI36" i="14"/>
  <c r="C141" i="15" s="1"/>
  <c r="W46" i="14"/>
  <c r="E102" i="15" s="1"/>
  <c r="BI43" i="14"/>
  <c r="W36" i="14"/>
  <c r="C102" i="15" s="1"/>
  <c r="K46" i="14"/>
  <c r="E61" i="15" s="1"/>
  <c r="E168" i="15"/>
  <c r="F126" i="15"/>
  <c r="C124" i="15"/>
  <c r="W19" i="14"/>
  <c r="C90" i="15" s="1"/>
  <c r="W29" i="14"/>
  <c r="E90" i="15" s="1"/>
  <c r="E207" i="15"/>
  <c r="AI24" i="14"/>
  <c r="D129" i="15" s="1"/>
  <c r="AI29" i="14"/>
  <c r="E129" i="15" s="1"/>
  <c r="AI41" i="14"/>
  <c r="D141" i="15" s="1"/>
  <c r="AI46" i="14"/>
  <c r="E141" i="15" s="1"/>
  <c r="E140" i="15"/>
  <c r="E85" i="15"/>
  <c r="W63" i="14"/>
  <c r="E114" i="15" s="1"/>
  <c r="D45" i="15"/>
  <c r="D48" i="15"/>
  <c r="D47" i="15"/>
  <c r="D43" i="15"/>
  <c r="C205" i="15"/>
  <c r="C203" i="15"/>
  <c r="C230" i="15"/>
  <c r="C218" i="15"/>
  <c r="C201" i="15"/>
  <c r="C214" i="15"/>
  <c r="K53" i="14"/>
  <c r="C73" i="15" s="1"/>
  <c r="N102" i="15"/>
  <c r="N137" i="15"/>
  <c r="AI49" i="14"/>
  <c r="N96" i="15"/>
  <c r="N227" i="15"/>
  <c r="N200" i="15"/>
  <c r="E203" i="15"/>
  <c r="N83" i="15"/>
  <c r="N108" i="15"/>
  <c r="N162" i="15"/>
  <c r="N100" i="15"/>
  <c r="N66" i="15"/>
  <c r="N125" i="15"/>
  <c r="N97" i="15"/>
  <c r="N88" i="15"/>
  <c r="N213" i="15"/>
  <c r="N47" i="15"/>
  <c r="N46" i="15" s="1"/>
  <c r="N174" i="15"/>
  <c r="M89" i="15"/>
  <c r="M87" i="15" s="1"/>
  <c r="M55" i="15"/>
  <c r="M149" i="15"/>
  <c r="M188" i="15"/>
  <c r="M113" i="15"/>
  <c r="M66" i="15"/>
  <c r="M86" i="15"/>
  <c r="M218" i="15"/>
  <c r="M174" i="15"/>
  <c r="M139" i="15"/>
  <c r="P40" i="10" a="1"/>
  <c r="P40" i="10" s="1"/>
  <c r="E27" i="15"/>
  <c r="H22" i="15"/>
  <c r="C23" i="15"/>
  <c r="C22" i="15" s="1"/>
  <c r="K153" i="15"/>
  <c r="BI65" i="14"/>
  <c r="H90" i="15"/>
  <c r="K164" i="15"/>
  <c r="E212" i="15"/>
  <c r="N27" i="15"/>
  <c r="K167" i="15"/>
  <c r="E95" i="15"/>
  <c r="N22" i="15"/>
  <c r="E96" i="15"/>
  <c r="E219" i="15"/>
  <c r="E98" i="15"/>
  <c r="K161" i="15"/>
  <c r="J90" i="15"/>
  <c r="W41" i="14"/>
  <c r="D102" i="15" s="1"/>
  <c r="D100" i="15"/>
  <c r="D98" i="15"/>
  <c r="J226" i="15"/>
  <c r="J163" i="15"/>
  <c r="J161" i="15"/>
  <c r="K59" i="14"/>
  <c r="G73" i="15" s="1"/>
  <c r="G43" i="15"/>
  <c r="BI60" i="14"/>
  <c r="J54" i="15"/>
  <c r="J107" i="15"/>
  <c r="J140" i="15"/>
  <c r="J164" i="15"/>
  <c r="M27" i="15"/>
  <c r="P17" i="10" a="1"/>
  <c r="P17" i="10" s="1"/>
  <c r="O58" i="14"/>
  <c r="D108" i="15" s="1"/>
  <c r="G47" i="15"/>
  <c r="M22" i="15"/>
  <c r="D22" i="15"/>
  <c r="J166" i="15"/>
  <c r="G42" i="15"/>
  <c r="G67" i="15"/>
  <c r="J167" i="15"/>
  <c r="P12" i="10" a="1"/>
  <c r="P12" i="10" s="1"/>
  <c r="K22" i="15"/>
  <c r="N40" i="10"/>
  <c r="H27" i="15"/>
  <c r="K27" i="15"/>
  <c r="P39" i="10" a="1"/>
  <c r="P39" i="10" s="1"/>
  <c r="E25" i="15"/>
  <c r="E22" i="15" s="1"/>
  <c r="J27" i="15"/>
  <c r="G27" i="15"/>
  <c r="G22" i="15"/>
  <c r="P34" i="10" a="1"/>
  <c r="P34" i="10" s="1"/>
  <c r="D27" i="15"/>
  <c r="N35" i="10"/>
  <c r="P35" i="10" a="1"/>
  <c r="P35" i="10" s="1"/>
  <c r="J22" i="15"/>
  <c r="P29" i="10" a="1"/>
  <c r="P29" i="10" s="1"/>
  <c r="P30" i="10" a="1"/>
  <c r="P30" i="10" s="1"/>
  <c r="C28" i="15"/>
  <c r="C27" i="15" s="1"/>
  <c r="L22" i="15"/>
  <c r="E191" i="15"/>
  <c r="E163" i="15"/>
  <c r="E127" i="15"/>
  <c r="E192" i="15"/>
  <c r="N23" i="10"/>
  <c r="P23" i="10" a="1"/>
  <c r="P23" i="10" s="1"/>
  <c r="P22" i="10" a="1"/>
  <c r="P22" i="10" s="1"/>
  <c r="AU46" i="14"/>
  <c r="D207" i="15"/>
  <c r="D202" i="15"/>
  <c r="D203" i="15"/>
  <c r="D205" i="15"/>
  <c r="D200" i="15"/>
  <c r="D206" i="15"/>
  <c r="D201" i="15"/>
  <c r="AU24" i="14"/>
  <c r="D139" i="15"/>
  <c r="D135" i="15"/>
  <c r="AY58" i="14"/>
  <c r="BG58" i="14" s="1"/>
  <c r="P18" i="10" a="1"/>
  <c r="P18" i="10" s="1"/>
  <c r="AM58" i="14"/>
  <c r="AU58" i="14" s="1"/>
  <c r="D192" i="15" s="1"/>
  <c r="N18" i="10"/>
  <c r="C167" i="15"/>
  <c r="C162" i="15"/>
  <c r="C163" i="15"/>
  <c r="C164" i="15"/>
  <c r="C166" i="15"/>
  <c r="C161" i="15"/>
  <c r="AM53" i="14"/>
  <c r="I22" i="15"/>
  <c r="P11" i="10" a="1"/>
  <c r="P11" i="10" s="1"/>
  <c r="P13" i="10" a="1"/>
  <c r="P13" i="10" s="1"/>
  <c r="C59" i="15"/>
  <c r="L27" i="15"/>
  <c r="F27" i="15"/>
  <c r="F22" i="15"/>
  <c r="L202" i="15"/>
  <c r="L137" i="15"/>
  <c r="L180" i="15"/>
  <c r="L206" i="15"/>
  <c r="L204" i="15" s="1"/>
  <c r="L98" i="15"/>
  <c r="L226" i="15"/>
  <c r="L56" i="15"/>
  <c r="L203" i="15"/>
  <c r="L109" i="15"/>
  <c r="L149" i="15"/>
  <c r="L179" i="15"/>
  <c r="L60" i="15"/>
  <c r="L58" i="15" s="1"/>
  <c r="L200" i="15"/>
  <c r="L69" i="15"/>
  <c r="L96" i="15"/>
  <c r="L207" i="15"/>
  <c r="L201" i="15"/>
  <c r="L214" i="15"/>
  <c r="I27" i="15"/>
  <c r="L175" i="15"/>
  <c r="I90" i="15"/>
  <c r="I123" i="15"/>
  <c r="I128" i="15"/>
  <c r="I42" i="15"/>
  <c r="AI55" i="14"/>
  <c r="I153" i="15" s="1"/>
  <c r="AI21" i="14"/>
  <c r="I129" i="15" s="1"/>
  <c r="I192" i="15"/>
  <c r="I124" i="15"/>
  <c r="I125" i="15"/>
  <c r="I187" i="15"/>
  <c r="I127" i="15"/>
  <c r="I10" i="2"/>
  <c r="I9" i="2" a="1"/>
  <c r="I9" i="2" s="1"/>
  <c r="I15" i="2"/>
  <c r="I14" i="2" a="1"/>
  <c r="I14" i="2" s="1"/>
  <c r="K21" i="11" a="1"/>
  <c r="K21" i="11" s="1"/>
  <c r="K23" i="11"/>
  <c r="K17" i="11"/>
  <c r="K18" i="11"/>
  <c r="K11" i="11" a="1"/>
  <c r="K11" i="11" s="1"/>
  <c r="W58" i="19"/>
  <c r="AI19" i="19"/>
  <c r="AI41" i="19"/>
  <c r="AU58" i="19"/>
  <c r="BG36" i="19"/>
  <c r="BG46" i="19"/>
  <c r="AI36" i="21"/>
  <c r="AI53" i="19"/>
  <c r="AU19" i="19"/>
  <c r="AU29" i="19"/>
  <c r="AU53" i="19"/>
  <c r="AU63" i="19"/>
  <c r="W24" i="19"/>
  <c r="W53" i="19"/>
  <c r="AI24" i="19"/>
  <c r="AI36" i="19"/>
  <c r="AU41" i="19"/>
  <c r="BG19" i="19"/>
  <c r="BG41" i="19"/>
  <c r="BG53" i="19"/>
  <c r="K24" i="21"/>
  <c r="K29" i="21"/>
  <c r="BG24" i="21"/>
  <c r="W46" i="21"/>
  <c r="W64" i="21"/>
  <c r="AU30" i="21"/>
  <c r="K54" i="21"/>
  <c r="W58" i="21"/>
  <c r="AI46" i="21"/>
  <c r="AU19" i="21"/>
  <c r="AI19" i="21"/>
  <c r="AI22" i="21"/>
  <c r="W24" i="21"/>
  <c r="W27" i="21"/>
  <c r="K19" i="21"/>
  <c r="K20" i="21"/>
  <c r="W21" i="21"/>
  <c r="W19" i="21"/>
  <c r="AU22" i="21"/>
  <c r="AI27" i="21"/>
  <c r="BG27" i="21"/>
  <c r="W31" i="21"/>
  <c r="AU43" i="21"/>
  <c r="BG47" i="21"/>
  <c r="AI53" i="21"/>
  <c r="AI20" i="21"/>
  <c r="BG19" i="21"/>
  <c r="BG20" i="21"/>
  <c r="W25" i="21"/>
  <c r="AU24" i="21"/>
  <c r="AU25" i="21"/>
  <c r="BG32" i="21"/>
  <c r="BI32" i="21" s="1"/>
  <c r="W53" i="21"/>
  <c r="W54" i="21"/>
  <c r="AU60" i="21"/>
  <c r="BI60" i="21" s="1"/>
  <c r="K21" i="21"/>
  <c r="AI21" i="21"/>
  <c r="AU21" i="21"/>
  <c r="BG25" i="21"/>
  <c r="K26" i="21"/>
  <c r="W26" i="21"/>
  <c r="AI24" i="21"/>
  <c r="AI26" i="21"/>
  <c r="K56" i="21"/>
  <c r="BG64" i="21"/>
  <c r="AU37" i="21"/>
  <c r="W39" i="21"/>
  <c r="K48" i="21"/>
  <c r="K55" i="21"/>
  <c r="K30" i="21"/>
  <c r="BG31" i="21"/>
  <c r="V36" i="21"/>
  <c r="W41" i="21"/>
  <c r="K41" i="21"/>
  <c r="AT41" i="21"/>
  <c r="J46" i="21"/>
  <c r="AI59" i="21"/>
  <c r="K61" i="21"/>
  <c r="AI61" i="21"/>
  <c r="J63" i="21"/>
  <c r="AI65" i="21"/>
  <c r="BG43" i="21"/>
  <c r="AI54" i="21"/>
  <c r="BG63" i="21"/>
  <c r="W30" i="21"/>
  <c r="AT29" i="21"/>
  <c r="AU31" i="21"/>
  <c r="BG37" i="21"/>
  <c r="K38" i="21"/>
  <c r="AI41" i="21"/>
  <c r="W29" i="21"/>
  <c r="W38" i="21"/>
  <c r="AI38" i="21"/>
  <c r="AU38" i="21"/>
  <c r="BG38" i="21"/>
  <c r="K43" i="21"/>
  <c r="BG44" i="21"/>
  <c r="BI44" i="21" s="1"/>
  <c r="K47" i="21"/>
  <c r="W47" i="21"/>
  <c r="AI47" i="21"/>
  <c r="AU47" i="21"/>
  <c r="BF46" i="21"/>
  <c r="W49" i="21"/>
  <c r="AI49" i="21"/>
  <c r="AI55" i="21"/>
  <c r="BG55" i="21"/>
  <c r="AU59" i="21"/>
  <c r="BG59" i="21"/>
  <c r="J58" i="21"/>
  <c r="AI63" i="21"/>
  <c r="K64" i="21"/>
  <c r="V63" i="21"/>
  <c r="K66" i="21"/>
  <c r="W66" i="21"/>
  <c r="K37" i="21"/>
  <c r="BI37" i="21" s="1"/>
  <c r="AU42" i="21"/>
  <c r="BG41" i="21"/>
  <c r="BG42" i="21"/>
  <c r="K49" i="21"/>
  <c r="AI56" i="21"/>
  <c r="K59" i="21"/>
  <c r="W65" i="21"/>
  <c r="AI39" i="21"/>
  <c r="K42" i="21"/>
  <c r="W48" i="21"/>
  <c r="AU55" i="21"/>
  <c r="W61" i="21"/>
  <c r="AI64" i="21"/>
  <c r="AU63" i="21"/>
  <c r="AU64" i="21"/>
  <c r="BG63" i="19"/>
  <c r="AU24" i="19"/>
  <c r="AI63" i="19"/>
  <c r="BI37" i="19"/>
  <c r="BI64" i="19"/>
  <c r="BI32" i="19"/>
  <c r="BI39" i="19"/>
  <c r="BI59" i="19"/>
  <c r="BI60" i="19"/>
  <c r="BI61" i="19"/>
  <c r="BI25" i="19"/>
  <c r="BI26" i="19"/>
  <c r="BI44" i="19"/>
  <c r="BI43" i="19"/>
  <c r="BI38" i="19"/>
  <c r="BI47" i="19"/>
  <c r="BI31" i="19"/>
  <c r="BI55" i="19"/>
  <c r="K66" i="19"/>
  <c r="BI66" i="19" s="1"/>
  <c r="K65" i="19"/>
  <c r="BI65" i="19" s="1"/>
  <c r="K56" i="19"/>
  <c r="BI56" i="19" s="1"/>
  <c r="K48" i="19"/>
  <c r="BI48" i="19" s="1"/>
  <c r="K49" i="19"/>
  <c r="BI49" i="19" s="1"/>
  <c r="K42" i="19"/>
  <c r="BI42" i="19" s="1"/>
  <c r="K36" i="19"/>
  <c r="K63" i="19"/>
  <c r="K54" i="19"/>
  <c r="BI54" i="19" s="1"/>
  <c r="K46" i="19"/>
  <c r="K41" i="19"/>
  <c r="K30" i="19"/>
  <c r="BI30" i="19" s="1"/>
  <c r="K27" i="19"/>
  <c r="BI27" i="19" s="1"/>
  <c r="K29" i="19"/>
  <c r="K24" i="19"/>
  <c r="K20" i="19"/>
  <c r="BI20" i="19" s="1"/>
  <c r="K22" i="19"/>
  <c r="BI22" i="19" s="1"/>
  <c r="K21" i="19"/>
  <c r="BI21" i="19" s="1"/>
  <c r="K19" i="19"/>
  <c r="H231" i="15"/>
  <c r="H225" i="15"/>
  <c r="K229" i="15"/>
  <c r="E227" i="15"/>
  <c r="N230" i="15"/>
  <c r="N225" i="15"/>
  <c r="H224" i="15"/>
  <c r="H227" i="15"/>
  <c r="K226" i="15"/>
  <c r="H230" i="15"/>
  <c r="E226" i="15"/>
  <c r="E229" i="15"/>
  <c r="N231" i="15"/>
  <c r="N226" i="15"/>
  <c r="H229" i="15"/>
  <c r="K230" i="15"/>
  <c r="K231" i="15"/>
  <c r="K225" i="15"/>
  <c r="E224" i="15"/>
  <c r="E225" i="15"/>
  <c r="N229" i="15"/>
  <c r="J224" i="15"/>
  <c r="J230" i="15"/>
  <c r="G226" i="15"/>
  <c r="J227" i="15"/>
  <c r="M229" i="15"/>
  <c r="M227" i="15"/>
  <c r="G229" i="15"/>
  <c r="J231" i="15"/>
  <c r="G231" i="15"/>
  <c r="J229" i="15"/>
  <c r="M231" i="15"/>
  <c r="M225" i="15"/>
  <c r="M224" i="15"/>
  <c r="F230" i="15"/>
  <c r="F228" i="15" s="1"/>
  <c r="I227" i="15"/>
  <c r="I224" i="15"/>
  <c r="I230" i="15"/>
  <c r="C226" i="15"/>
  <c r="C229" i="15"/>
  <c r="L231" i="15"/>
  <c r="L229" i="15"/>
  <c r="F225" i="15"/>
  <c r="I229" i="15"/>
  <c r="F226" i="15"/>
  <c r="I231" i="15"/>
  <c r="C225" i="15"/>
  <c r="L227" i="15"/>
  <c r="I226" i="15"/>
  <c r="F231" i="15"/>
  <c r="F227" i="15"/>
  <c r="C224" i="15"/>
  <c r="L230" i="15"/>
  <c r="K212" i="15"/>
  <c r="H214" i="15"/>
  <c r="H213" i="15"/>
  <c r="K219" i="15"/>
  <c r="E215" i="15"/>
  <c r="E217" i="15"/>
  <c r="N215" i="15"/>
  <c r="N212" i="15"/>
  <c r="E214" i="15"/>
  <c r="N214" i="15"/>
  <c r="K217" i="15"/>
  <c r="K216" i="15" s="1"/>
  <c r="H219" i="15"/>
  <c r="K214" i="15"/>
  <c r="H218" i="15"/>
  <c r="H216" i="15" s="1"/>
  <c r="H212" i="15"/>
  <c r="H215" i="15"/>
  <c r="E213" i="15"/>
  <c r="N217" i="15"/>
  <c r="N216" i="15" s="1"/>
  <c r="G217" i="15"/>
  <c r="G213" i="15"/>
  <c r="J217" i="15"/>
  <c r="G218" i="15"/>
  <c r="D217" i="15"/>
  <c r="D213" i="15"/>
  <c r="M214" i="15"/>
  <c r="M217" i="15"/>
  <c r="J215" i="15"/>
  <c r="J214" i="15"/>
  <c r="J219" i="15"/>
  <c r="G219" i="15"/>
  <c r="D212" i="15"/>
  <c r="D218" i="15"/>
  <c r="M213" i="15"/>
  <c r="G212" i="15"/>
  <c r="G215" i="15"/>
  <c r="J212" i="15"/>
  <c r="D214" i="15"/>
  <c r="D215" i="15"/>
  <c r="M215" i="15"/>
  <c r="L215" i="15"/>
  <c r="L212" i="15"/>
  <c r="I212" i="15"/>
  <c r="F215" i="15"/>
  <c r="F214" i="15"/>
  <c r="F213" i="15"/>
  <c r="C212" i="15"/>
  <c r="L213" i="15"/>
  <c r="F219" i="15"/>
  <c r="F212" i="15"/>
  <c r="C213" i="15"/>
  <c r="F217" i="15"/>
  <c r="I218" i="15"/>
  <c r="I215" i="15"/>
  <c r="I214" i="15"/>
  <c r="C215" i="15"/>
  <c r="C217" i="15"/>
  <c r="H203" i="15"/>
  <c r="H205" i="15"/>
  <c r="H202" i="15"/>
  <c r="E202" i="15"/>
  <c r="H201" i="15"/>
  <c r="K206" i="15"/>
  <c r="E200" i="15"/>
  <c r="E201" i="15"/>
  <c r="N201" i="15"/>
  <c r="N205" i="15"/>
  <c r="H207" i="15"/>
  <c r="K202" i="15"/>
  <c r="H200" i="15"/>
  <c r="K200" i="15"/>
  <c r="E205" i="15"/>
  <c r="E206" i="15"/>
  <c r="N202" i="15"/>
  <c r="G187" i="15"/>
  <c r="H191" i="15"/>
  <c r="K191" i="15"/>
  <c r="E186" i="15"/>
  <c r="M187" i="15"/>
  <c r="J187" i="15"/>
  <c r="K187" i="15"/>
  <c r="H186" i="15"/>
  <c r="E185" i="15"/>
  <c r="N188" i="15"/>
  <c r="H190" i="15"/>
  <c r="N187" i="15"/>
  <c r="K185" i="15"/>
  <c r="H192" i="15"/>
  <c r="K188" i="15"/>
  <c r="H187" i="15"/>
  <c r="K192" i="15"/>
  <c r="E188" i="15"/>
  <c r="E190" i="15"/>
  <c r="N185" i="15"/>
  <c r="J186" i="15"/>
  <c r="J191" i="15"/>
  <c r="G188" i="15"/>
  <c r="M186" i="15"/>
  <c r="G185" i="15"/>
  <c r="J185" i="15"/>
  <c r="J188" i="15"/>
  <c r="G191" i="15"/>
  <c r="M192" i="15"/>
  <c r="M190" i="15"/>
  <c r="M191" i="15"/>
  <c r="G190" i="15"/>
  <c r="G186" i="15"/>
  <c r="G192" i="15"/>
  <c r="J190" i="15"/>
  <c r="F188" i="15"/>
  <c r="I185" i="15"/>
  <c r="F190" i="15"/>
  <c r="L190" i="15"/>
  <c r="L189" i="15" s="1"/>
  <c r="L186" i="15"/>
  <c r="F191" i="15"/>
  <c r="I188" i="15"/>
  <c r="I190" i="15"/>
  <c r="I191" i="15"/>
  <c r="L187" i="15"/>
  <c r="F186" i="15"/>
  <c r="F185" i="15"/>
  <c r="K174" i="15"/>
  <c r="H175" i="15"/>
  <c r="H178" i="15"/>
  <c r="N179" i="15"/>
  <c r="N175" i="15"/>
  <c r="K173" i="15"/>
  <c r="H174" i="15"/>
  <c r="K176" i="15"/>
  <c r="H179" i="15"/>
  <c r="N173" i="15"/>
  <c r="N176" i="15"/>
  <c r="H176" i="15"/>
  <c r="K178" i="15"/>
  <c r="K179" i="15"/>
  <c r="K180" i="15"/>
  <c r="G174" i="15"/>
  <c r="J173" i="15"/>
  <c r="M175" i="15"/>
  <c r="J175" i="15"/>
  <c r="J178" i="15"/>
  <c r="G178" i="15"/>
  <c r="M178" i="15"/>
  <c r="M176" i="15"/>
  <c r="G179" i="15"/>
  <c r="G176" i="15"/>
  <c r="G173" i="15"/>
  <c r="G175" i="15"/>
  <c r="J176" i="15"/>
  <c r="F174" i="15"/>
  <c r="I180" i="15"/>
  <c r="L176" i="15"/>
  <c r="F173" i="15"/>
  <c r="L174" i="15"/>
  <c r="I179" i="15"/>
  <c r="F178" i="15"/>
  <c r="L178" i="15"/>
  <c r="I175" i="15"/>
  <c r="F176" i="15"/>
  <c r="I178" i="15"/>
  <c r="I173" i="15"/>
  <c r="I174" i="15"/>
  <c r="H168" i="15"/>
  <c r="K162" i="15"/>
  <c r="H163" i="15"/>
  <c r="E167" i="15"/>
  <c r="N163" i="15"/>
  <c r="H166" i="15"/>
  <c r="H167" i="15"/>
  <c r="H164" i="15"/>
  <c r="E162" i="15"/>
  <c r="E161" i="15"/>
  <c r="N164" i="15"/>
  <c r="N161" i="15"/>
  <c r="H162" i="15"/>
  <c r="H161" i="15"/>
  <c r="K166" i="15"/>
  <c r="E164" i="15"/>
  <c r="E166" i="15"/>
  <c r="N166" i="15"/>
  <c r="K147" i="15"/>
  <c r="H146" i="15"/>
  <c r="E153" i="15"/>
  <c r="N149" i="15"/>
  <c r="H151" i="15"/>
  <c r="K148" i="15"/>
  <c r="H147" i="15"/>
  <c r="E151" i="15"/>
  <c r="E147" i="15"/>
  <c r="N151" i="15"/>
  <c r="N150" i="15" s="1"/>
  <c r="K151" i="15"/>
  <c r="H153" i="15"/>
  <c r="K152" i="15"/>
  <c r="H152" i="15"/>
  <c r="H148" i="15"/>
  <c r="E148" i="15"/>
  <c r="E152" i="15"/>
  <c r="N147" i="15"/>
  <c r="J147" i="15"/>
  <c r="G147" i="15"/>
  <c r="D148" i="15"/>
  <c r="G152" i="15"/>
  <c r="G150" i="15" s="1"/>
  <c r="J146" i="15"/>
  <c r="G148" i="15"/>
  <c r="J151" i="15"/>
  <c r="D147" i="15"/>
  <c r="D153" i="15"/>
  <c r="M146" i="15"/>
  <c r="M148" i="15"/>
  <c r="J152" i="15"/>
  <c r="G149" i="15"/>
  <c r="D149" i="15"/>
  <c r="M153" i="15"/>
  <c r="M152" i="15"/>
  <c r="J153" i="15"/>
  <c r="J148" i="15"/>
  <c r="J149" i="15"/>
  <c r="D146" i="15"/>
  <c r="M151" i="15"/>
  <c r="F148" i="15"/>
  <c r="I146" i="15"/>
  <c r="F149" i="15"/>
  <c r="C148" i="15"/>
  <c r="C149" i="15"/>
  <c r="L152" i="15"/>
  <c r="F152" i="15"/>
  <c r="F146" i="15"/>
  <c r="F147" i="15"/>
  <c r="F151" i="15"/>
  <c r="C146" i="15"/>
  <c r="C152" i="15"/>
  <c r="L148" i="15"/>
  <c r="I149" i="15"/>
  <c r="F153" i="15"/>
  <c r="I152" i="15"/>
  <c r="C151" i="15"/>
  <c r="L153" i="15"/>
  <c r="L151" i="15"/>
  <c r="I147" i="15"/>
  <c r="I148" i="15"/>
  <c r="I151" i="15"/>
  <c r="C153" i="15"/>
  <c r="C147" i="15"/>
  <c r="L147" i="15"/>
  <c r="H140" i="15"/>
  <c r="H134" i="15"/>
  <c r="N140" i="15"/>
  <c r="N138" i="15" s="1"/>
  <c r="K141" i="15"/>
  <c r="K135" i="15"/>
  <c r="E137" i="15"/>
  <c r="E139" i="15"/>
  <c r="N136" i="15"/>
  <c r="H139" i="15"/>
  <c r="E134" i="15"/>
  <c r="N135" i="15"/>
  <c r="H136" i="15"/>
  <c r="H135" i="15"/>
  <c r="K134" i="15"/>
  <c r="K139" i="15"/>
  <c r="E135" i="15"/>
  <c r="E136" i="15"/>
  <c r="G136" i="15"/>
  <c r="G134" i="15"/>
  <c r="G135" i="15"/>
  <c r="J141" i="15"/>
  <c r="D136" i="15"/>
  <c r="D140" i="15"/>
  <c r="M141" i="15"/>
  <c r="M136" i="15"/>
  <c r="M135" i="15"/>
  <c r="J137" i="15"/>
  <c r="J135" i="15"/>
  <c r="J136" i="15"/>
  <c r="D134" i="15"/>
  <c r="M137" i="15"/>
  <c r="M140" i="15"/>
  <c r="J139" i="15"/>
  <c r="G139" i="15"/>
  <c r="G138" i="15" s="1"/>
  <c r="D137" i="15"/>
  <c r="I140" i="15"/>
  <c r="I135" i="15"/>
  <c r="F139" i="15"/>
  <c r="I137" i="15"/>
  <c r="C135" i="15"/>
  <c r="L135" i="15"/>
  <c r="I134" i="15"/>
  <c r="I139" i="15"/>
  <c r="F140" i="15"/>
  <c r="F141" i="15"/>
  <c r="C140" i="15"/>
  <c r="C134" i="15"/>
  <c r="L139" i="15"/>
  <c r="F137" i="15"/>
  <c r="F135" i="15"/>
  <c r="I141" i="15"/>
  <c r="C137" i="15"/>
  <c r="C139" i="15"/>
  <c r="L140" i="15"/>
  <c r="K122" i="15"/>
  <c r="K123" i="15"/>
  <c r="K125" i="15"/>
  <c r="H125" i="15"/>
  <c r="E124" i="15"/>
  <c r="E125" i="15"/>
  <c r="N129" i="15"/>
  <c r="N127" i="15"/>
  <c r="H122" i="15"/>
  <c r="H129" i="15"/>
  <c r="E123" i="15"/>
  <c r="N128" i="15"/>
  <c r="N124" i="15"/>
  <c r="H127" i="15"/>
  <c r="H128" i="15"/>
  <c r="K128" i="15"/>
  <c r="H123" i="15"/>
  <c r="K129" i="15"/>
  <c r="E122" i="15"/>
  <c r="E128" i="15"/>
  <c r="N122" i="15"/>
  <c r="H110" i="15"/>
  <c r="E108" i="15"/>
  <c r="N114" i="15"/>
  <c r="K114" i="15"/>
  <c r="N109" i="15"/>
  <c r="H112" i="15"/>
  <c r="E113" i="15"/>
  <c r="E107" i="15"/>
  <c r="K108" i="15"/>
  <c r="N112" i="15"/>
  <c r="N111" i="15" s="1"/>
  <c r="H109" i="15"/>
  <c r="K112" i="15"/>
  <c r="N107" i="15"/>
  <c r="H107" i="15"/>
  <c r="H113" i="15"/>
  <c r="E110" i="15"/>
  <c r="E112" i="15"/>
  <c r="K110" i="15"/>
  <c r="K113" i="15"/>
  <c r="G107" i="15"/>
  <c r="J108" i="15"/>
  <c r="J109" i="15"/>
  <c r="M108" i="15"/>
  <c r="M109" i="15"/>
  <c r="G110" i="15"/>
  <c r="G113" i="15"/>
  <c r="J110" i="15"/>
  <c r="J112" i="15"/>
  <c r="M110" i="15"/>
  <c r="M112" i="15"/>
  <c r="G112" i="15"/>
  <c r="G108" i="15"/>
  <c r="J113" i="15"/>
  <c r="J114" i="15"/>
  <c r="F112" i="15"/>
  <c r="C114" i="15"/>
  <c r="F113" i="15"/>
  <c r="F114" i="15"/>
  <c r="C107" i="15"/>
  <c r="I109" i="15"/>
  <c r="I114" i="15"/>
  <c r="L110" i="15"/>
  <c r="F109" i="15"/>
  <c r="C108" i="15"/>
  <c r="I113" i="15"/>
  <c r="I110" i="15"/>
  <c r="L112" i="15"/>
  <c r="L113" i="15"/>
  <c r="F107" i="15"/>
  <c r="F110" i="15"/>
  <c r="C113" i="15"/>
  <c r="C112" i="15"/>
  <c r="I107" i="15"/>
  <c r="K96" i="15"/>
  <c r="K98" i="15"/>
  <c r="E97" i="15"/>
  <c r="N101" i="15"/>
  <c r="N98" i="15"/>
  <c r="N95" i="15"/>
  <c r="H98" i="15"/>
  <c r="K95" i="15"/>
  <c r="H97" i="15"/>
  <c r="K101" i="15"/>
  <c r="E101" i="15"/>
  <c r="E99" i="15" s="1"/>
  <c r="G95" i="15"/>
  <c r="J100" i="15"/>
  <c r="J101" i="15"/>
  <c r="J102" i="15"/>
  <c r="D96" i="15"/>
  <c r="D97" i="15"/>
  <c r="M102" i="15"/>
  <c r="M100" i="15"/>
  <c r="J96" i="15"/>
  <c r="J97" i="15"/>
  <c r="J95" i="15"/>
  <c r="D101" i="15"/>
  <c r="M95" i="15"/>
  <c r="M97" i="15"/>
  <c r="J98" i="15"/>
  <c r="G98" i="15"/>
  <c r="D95" i="15"/>
  <c r="M96" i="15"/>
  <c r="F97" i="15"/>
  <c r="F95" i="15"/>
  <c r="C96" i="15"/>
  <c r="L101" i="15"/>
  <c r="I100" i="15"/>
  <c r="F98" i="15"/>
  <c r="I96" i="15"/>
  <c r="C100" i="15"/>
  <c r="C101" i="15"/>
  <c r="L95" i="15"/>
  <c r="F100" i="15"/>
  <c r="F96" i="15"/>
  <c r="I102" i="15"/>
  <c r="F102" i="15"/>
  <c r="C98" i="15"/>
  <c r="L97" i="15"/>
  <c r="I95" i="15"/>
  <c r="C97" i="15"/>
  <c r="L102" i="15"/>
  <c r="I101" i="15"/>
  <c r="I98" i="15"/>
  <c r="F101" i="15"/>
  <c r="I97" i="15"/>
  <c r="C95" i="15"/>
  <c r="L100" i="15"/>
  <c r="K85" i="15"/>
  <c r="H84" i="15"/>
  <c r="E84" i="15"/>
  <c r="H89" i="15"/>
  <c r="K83" i="15"/>
  <c r="H85" i="15"/>
  <c r="K90" i="15"/>
  <c r="E83" i="15"/>
  <c r="N89" i="15"/>
  <c r="K86" i="15"/>
  <c r="K89" i="15"/>
  <c r="N86" i="15"/>
  <c r="N84" i="15"/>
  <c r="H83" i="15"/>
  <c r="H88" i="15"/>
  <c r="H86" i="15"/>
  <c r="E86" i="15"/>
  <c r="E88" i="15"/>
  <c r="E87" i="15" s="1"/>
  <c r="N90" i="15"/>
  <c r="E73" i="15"/>
  <c r="K73" i="15"/>
  <c r="N73" i="15"/>
  <c r="K67" i="15"/>
  <c r="H69" i="15"/>
  <c r="K68" i="15"/>
  <c r="E67" i="15"/>
  <c r="E72" i="15"/>
  <c r="N68" i="15"/>
  <c r="K72" i="15"/>
  <c r="K71" i="15"/>
  <c r="H68" i="15"/>
  <c r="E71" i="15"/>
  <c r="N72" i="15"/>
  <c r="H73" i="15"/>
  <c r="K66" i="15"/>
  <c r="H66" i="15"/>
  <c r="K69" i="15"/>
  <c r="E69" i="15"/>
  <c r="N67" i="15"/>
  <c r="J73" i="15"/>
  <c r="G66" i="15"/>
  <c r="J69" i="15"/>
  <c r="M72" i="15"/>
  <c r="M70" i="15" s="1"/>
  <c r="J66" i="15"/>
  <c r="J67" i="15"/>
  <c r="G69" i="15"/>
  <c r="D69" i="15"/>
  <c r="D71" i="15"/>
  <c r="M68" i="15"/>
  <c r="J68" i="15"/>
  <c r="D68" i="15"/>
  <c r="D67" i="15"/>
  <c r="G71" i="15"/>
  <c r="G72" i="15"/>
  <c r="J71" i="15"/>
  <c r="J70" i="15" s="1"/>
  <c r="D72" i="15"/>
  <c r="M67" i="15"/>
  <c r="F69" i="15"/>
  <c r="I67" i="15"/>
  <c r="L71" i="15"/>
  <c r="F67" i="15"/>
  <c r="I71" i="15"/>
  <c r="F71" i="15"/>
  <c r="C71" i="15"/>
  <c r="C66" i="15"/>
  <c r="L66" i="15"/>
  <c r="I69" i="15"/>
  <c r="C68" i="15"/>
  <c r="L72" i="15"/>
  <c r="F73" i="15"/>
  <c r="L73" i="15"/>
  <c r="I68" i="15"/>
  <c r="I72" i="15"/>
  <c r="F72" i="15"/>
  <c r="C69" i="15"/>
  <c r="C72" i="15"/>
  <c r="H56" i="15"/>
  <c r="H57" i="15"/>
  <c r="K56" i="15"/>
  <c r="H60" i="15"/>
  <c r="E55" i="15"/>
  <c r="E59" i="15"/>
  <c r="N60" i="15"/>
  <c r="H59" i="15"/>
  <c r="K59" i="15"/>
  <c r="K60" i="15"/>
  <c r="H61" i="15"/>
  <c r="E54" i="15"/>
  <c r="E56" i="15"/>
  <c r="N55" i="15"/>
  <c r="N54" i="15"/>
  <c r="K54" i="15"/>
  <c r="K55" i="15"/>
  <c r="K61" i="15"/>
  <c r="E57" i="15"/>
  <c r="E60" i="15"/>
  <c r="N59" i="15"/>
  <c r="G55" i="15"/>
  <c r="G56" i="15"/>
  <c r="D54" i="15"/>
  <c r="D56" i="15"/>
  <c r="M54" i="15"/>
  <c r="G54" i="15"/>
  <c r="J56" i="15"/>
  <c r="G59" i="15"/>
  <c r="G58" i="15" s="1"/>
  <c r="G57" i="15"/>
  <c r="D59" i="15"/>
  <c r="D55" i="15"/>
  <c r="M61" i="15"/>
  <c r="M57" i="15"/>
  <c r="J60" i="15"/>
  <c r="J61" i="15"/>
  <c r="J57" i="15"/>
  <c r="J59" i="15"/>
  <c r="D57" i="15"/>
  <c r="D60" i="15"/>
  <c r="M56" i="15"/>
  <c r="I60" i="15"/>
  <c r="I56" i="15"/>
  <c r="F57" i="15"/>
  <c r="F56" i="15"/>
  <c r="C60" i="15"/>
  <c r="C54" i="15"/>
  <c r="L54" i="15"/>
  <c r="I59" i="15"/>
  <c r="F55" i="15"/>
  <c r="C56" i="15"/>
  <c r="L57" i="15"/>
  <c r="K44" i="15"/>
  <c r="K48" i="15"/>
  <c r="H42" i="15"/>
  <c r="E44" i="15"/>
  <c r="N45" i="15"/>
  <c r="K42" i="15"/>
  <c r="H48" i="15"/>
  <c r="H47" i="15"/>
  <c r="E48" i="15"/>
  <c r="E47" i="15"/>
  <c r="N44" i="15"/>
  <c r="N43" i="15"/>
  <c r="H49" i="15"/>
  <c r="K49" i="15"/>
  <c r="N49" i="15"/>
  <c r="K45" i="15"/>
  <c r="H45" i="15"/>
  <c r="H43" i="15"/>
  <c r="E42" i="15"/>
  <c r="E43" i="15"/>
  <c r="N42" i="15"/>
  <c r="J216" i="15" l="1"/>
  <c r="F216" i="15"/>
  <c r="H204" i="15"/>
  <c r="K204" i="15"/>
  <c r="N204" i="15"/>
  <c r="G204" i="15"/>
  <c r="M177" i="15"/>
  <c r="F177" i="15"/>
  <c r="N165" i="15"/>
  <c r="BI31" i="14"/>
  <c r="K168" i="15"/>
  <c r="BI32" i="14"/>
  <c r="N168" i="15"/>
  <c r="G165" i="15"/>
  <c r="D173" i="15"/>
  <c r="AU41" i="14"/>
  <c r="C186" i="15"/>
  <c r="AU53" i="14"/>
  <c r="C178" i="15"/>
  <c r="AU36" i="14"/>
  <c r="G126" i="15"/>
  <c r="N228" i="15"/>
  <c r="C204" i="15"/>
  <c r="D121" i="15"/>
  <c r="H141" i="15"/>
  <c r="BI19" i="14"/>
  <c r="K189" i="15"/>
  <c r="M216" i="15"/>
  <c r="H99" i="15"/>
  <c r="I199" i="15"/>
  <c r="C87" i="15"/>
  <c r="E228" i="15"/>
  <c r="G160" i="15"/>
  <c r="M58" i="15"/>
  <c r="C126" i="15"/>
  <c r="K87" i="15"/>
  <c r="J126" i="15"/>
  <c r="C82" i="15"/>
  <c r="BI66" i="14"/>
  <c r="F199" i="15"/>
  <c r="F46" i="15"/>
  <c r="I87" i="15"/>
  <c r="N70" i="15"/>
  <c r="E216" i="15"/>
  <c r="I46" i="15"/>
  <c r="D126" i="15"/>
  <c r="C176" i="15"/>
  <c r="G121" i="15"/>
  <c r="BI44" i="14"/>
  <c r="K102" i="15"/>
  <c r="M228" i="15"/>
  <c r="M199" i="15"/>
  <c r="G199" i="15"/>
  <c r="D150" i="15"/>
  <c r="K126" i="15"/>
  <c r="N177" i="15"/>
  <c r="BI64" i="14"/>
  <c r="K99" i="15"/>
  <c r="J121" i="15"/>
  <c r="K138" i="15"/>
  <c r="BI25" i="14"/>
  <c r="K46" i="15"/>
  <c r="L126" i="15"/>
  <c r="M126" i="15"/>
  <c r="D174" i="15"/>
  <c r="G46" i="15"/>
  <c r="L41" i="15"/>
  <c r="BI54" i="14"/>
  <c r="F165" i="15"/>
  <c r="G228" i="15"/>
  <c r="D178" i="15"/>
  <c r="M111" i="15"/>
  <c r="D176" i="15"/>
  <c r="BI37" i="14"/>
  <c r="L46" i="15"/>
  <c r="M165" i="15"/>
  <c r="I160" i="15"/>
  <c r="I41" i="15"/>
  <c r="F41" i="15"/>
  <c r="F192" i="15"/>
  <c r="I216" i="15"/>
  <c r="I138" i="15"/>
  <c r="L121" i="15"/>
  <c r="I82" i="15"/>
  <c r="BI56" i="14"/>
  <c r="C46" i="15"/>
  <c r="I111" i="15"/>
  <c r="I165" i="15"/>
  <c r="C174" i="15"/>
  <c r="F160" i="15"/>
  <c r="C175" i="15"/>
  <c r="C138" i="15"/>
  <c r="C121" i="15"/>
  <c r="L160" i="15"/>
  <c r="M82" i="15"/>
  <c r="J87" i="15"/>
  <c r="F82" i="15"/>
  <c r="I61" i="15"/>
  <c r="C41" i="15"/>
  <c r="BI49" i="14"/>
  <c r="D113" i="15"/>
  <c r="D112" i="15"/>
  <c r="G82" i="15"/>
  <c r="L82" i="15"/>
  <c r="J199" i="15"/>
  <c r="M160" i="15"/>
  <c r="K165" i="15"/>
  <c r="J177" i="15"/>
  <c r="N141" i="15"/>
  <c r="M121" i="15"/>
  <c r="F121" i="15"/>
  <c r="BI59" i="14"/>
  <c r="L106" i="15"/>
  <c r="J82" i="15"/>
  <c r="BI61" i="14"/>
  <c r="BI42" i="14"/>
  <c r="BI39" i="14"/>
  <c r="I53" i="15"/>
  <c r="M41" i="15"/>
  <c r="J41" i="15"/>
  <c r="N153" i="15"/>
  <c r="BI26" i="14"/>
  <c r="M99" i="15"/>
  <c r="D138" i="15"/>
  <c r="J138" i="15"/>
  <c r="D179" i="15"/>
  <c r="G223" i="15"/>
  <c r="BI27" i="14"/>
  <c r="BI55" i="14"/>
  <c r="BI20" i="14"/>
  <c r="C58" i="15"/>
  <c r="W36" i="21"/>
  <c r="BI19" i="19"/>
  <c r="BI65" i="21"/>
  <c r="BI63" i="19"/>
  <c r="BI36" i="19"/>
  <c r="BI25" i="21"/>
  <c r="BI27" i="21"/>
  <c r="AI29" i="21"/>
  <c r="BI31" i="21"/>
  <c r="BI46" i="19"/>
  <c r="BI41" i="19"/>
  <c r="BI29" i="19"/>
  <c r="BI24" i="19"/>
  <c r="E138" i="15"/>
  <c r="L133" i="15"/>
  <c r="C165" i="15"/>
  <c r="N87" i="15"/>
  <c r="J189" i="15"/>
  <c r="E223" i="15"/>
  <c r="E189" i="15"/>
  <c r="C70" i="15"/>
  <c r="L177" i="15"/>
  <c r="M138" i="15"/>
  <c r="N99" i="15"/>
  <c r="C160" i="15"/>
  <c r="BI21" i="14"/>
  <c r="C199" i="15"/>
  <c r="J211" i="15"/>
  <c r="L223" i="15"/>
  <c r="C228" i="15"/>
  <c r="H228" i="15"/>
  <c r="L172" i="15"/>
  <c r="E126" i="15"/>
  <c r="BI63" i="14"/>
  <c r="D99" i="15"/>
  <c r="I70" i="15"/>
  <c r="D41" i="15"/>
  <c r="D46" i="15"/>
  <c r="N65" i="15"/>
  <c r="K70" i="15"/>
  <c r="D185" i="15"/>
  <c r="C191" i="15"/>
  <c r="C187" i="15"/>
  <c r="C223" i="15"/>
  <c r="I228" i="15"/>
  <c r="C185" i="15"/>
  <c r="C99" i="15"/>
  <c r="C216" i="15"/>
  <c r="I126" i="15"/>
  <c r="E41" i="15"/>
  <c r="N94" i="15"/>
  <c r="E111" i="15"/>
  <c r="N133" i="15"/>
  <c r="E46" i="15"/>
  <c r="H58" i="15"/>
  <c r="K160" i="15"/>
  <c r="N184" i="15"/>
  <c r="D107" i="15"/>
  <c r="D186" i="15"/>
  <c r="D190" i="15"/>
  <c r="J223" i="15"/>
  <c r="D94" i="15"/>
  <c r="J150" i="15"/>
  <c r="D188" i="15"/>
  <c r="D191" i="15"/>
  <c r="D187" i="15"/>
  <c r="E94" i="15"/>
  <c r="E70" i="15"/>
  <c r="H87" i="15"/>
  <c r="N106" i="15"/>
  <c r="N145" i="15"/>
  <c r="E211" i="15"/>
  <c r="H223" i="15"/>
  <c r="BI29" i="14"/>
  <c r="N160" i="15"/>
  <c r="J165" i="15"/>
  <c r="G111" i="15"/>
  <c r="J133" i="15"/>
  <c r="M106" i="15"/>
  <c r="M150" i="15"/>
  <c r="M172" i="15"/>
  <c r="M223" i="15"/>
  <c r="D70" i="15"/>
  <c r="G41" i="15"/>
  <c r="D109" i="15"/>
  <c r="W58" i="14"/>
  <c r="D114" i="15" s="1"/>
  <c r="D110" i="15"/>
  <c r="D85" i="15"/>
  <c r="D89" i="15"/>
  <c r="D84" i="15"/>
  <c r="W24" i="14"/>
  <c r="D90" i="15" s="1"/>
  <c r="D86" i="15"/>
  <c r="D83" i="15"/>
  <c r="D88" i="15"/>
  <c r="J160" i="15"/>
  <c r="E65" i="15"/>
  <c r="K133" i="15"/>
  <c r="H145" i="15"/>
  <c r="K228" i="15"/>
  <c r="H53" i="15"/>
  <c r="E145" i="15"/>
  <c r="H172" i="15"/>
  <c r="K223" i="15"/>
  <c r="E176" i="15"/>
  <c r="E175" i="15"/>
  <c r="E165" i="15"/>
  <c r="H199" i="15"/>
  <c r="N58" i="15"/>
  <c r="E82" i="15"/>
  <c r="K106" i="15"/>
  <c r="H94" i="15"/>
  <c r="E106" i="15"/>
  <c r="E173" i="15"/>
  <c r="E179" i="15"/>
  <c r="E174" i="15"/>
  <c r="N211" i="15"/>
  <c r="N223" i="15"/>
  <c r="H65" i="15"/>
  <c r="N82" i="15"/>
  <c r="K94" i="15"/>
  <c r="N121" i="15"/>
  <c r="H126" i="15"/>
  <c r="H138" i="15"/>
  <c r="E178" i="15"/>
  <c r="H184" i="15"/>
  <c r="H41" i="15"/>
  <c r="K82" i="15"/>
  <c r="N199" i="15"/>
  <c r="D225" i="15"/>
  <c r="D231" i="15"/>
  <c r="D226" i="15"/>
  <c r="D224" i="15"/>
  <c r="G211" i="15"/>
  <c r="D199" i="15"/>
  <c r="G70" i="15"/>
  <c r="J53" i="15"/>
  <c r="M133" i="15"/>
  <c r="M184" i="15"/>
  <c r="M211" i="15"/>
  <c r="D230" i="15"/>
  <c r="D204" i="15"/>
  <c r="G53" i="15"/>
  <c r="D65" i="15"/>
  <c r="J106" i="15"/>
  <c r="G145" i="15"/>
  <c r="D229" i="15"/>
  <c r="D227" i="15"/>
  <c r="D175" i="15"/>
  <c r="M65" i="15"/>
  <c r="J65" i="15"/>
  <c r="J94" i="15"/>
  <c r="D161" i="15"/>
  <c r="D164" i="15"/>
  <c r="D167" i="15"/>
  <c r="D166" i="15"/>
  <c r="D162" i="15"/>
  <c r="D163" i="15"/>
  <c r="L94" i="15"/>
  <c r="L150" i="15"/>
  <c r="C179" i="15"/>
  <c r="C173" i="15"/>
  <c r="I177" i="15"/>
  <c r="L199" i="15"/>
  <c r="C168" i="15"/>
  <c r="C111" i="15"/>
  <c r="C190" i="15"/>
  <c r="C188" i="15"/>
  <c r="I58" i="15"/>
  <c r="L65" i="15"/>
  <c r="F184" i="15"/>
  <c r="C150" i="15"/>
  <c r="L138" i="15"/>
  <c r="I184" i="15"/>
  <c r="I121" i="15"/>
  <c r="BI22" i="14"/>
  <c r="C65" i="15"/>
  <c r="I106" i="15"/>
  <c r="F138" i="15"/>
  <c r="F211" i="15"/>
  <c r="L211" i="15"/>
  <c r="F70" i="15"/>
  <c r="F111" i="15"/>
  <c r="C145" i="15"/>
  <c r="I65" i="15"/>
  <c r="C53" i="15"/>
  <c r="F133" i="15"/>
  <c r="L145" i="15"/>
  <c r="F53" i="15"/>
  <c r="F65" i="15"/>
  <c r="I133" i="15"/>
  <c r="K53" i="19"/>
  <c r="BI53" i="19" s="1"/>
  <c r="K58" i="19"/>
  <c r="BI58" i="19" s="1"/>
  <c r="AU58" i="21"/>
  <c r="BI30" i="21"/>
  <c r="BI54" i="21"/>
  <c r="K58" i="21"/>
  <c r="AU53" i="21"/>
  <c r="AU46" i="21"/>
  <c r="W63" i="21"/>
  <c r="BI61" i="21"/>
  <c r="K46" i="21"/>
  <c r="BI20" i="21"/>
  <c r="BI24" i="21"/>
  <c r="BG46" i="21"/>
  <c r="BG29" i="21"/>
  <c r="BI22" i="21"/>
  <c r="AU41" i="21"/>
  <c r="BI41" i="21" s="1"/>
  <c r="K53" i="21"/>
  <c r="AU36" i="21"/>
  <c r="AU29" i="21"/>
  <c r="BI18" i="21" s="1" a="1"/>
  <c r="BI18" i="21" s="1"/>
  <c r="BI39" i="21"/>
  <c r="BI21" i="21"/>
  <c r="BG36" i="21"/>
  <c r="BI55" i="21"/>
  <c r="AI58" i="21"/>
  <c r="BI66" i="21"/>
  <c r="K63" i="21"/>
  <c r="BI43" i="21"/>
  <c r="BI38" i="21"/>
  <c r="BI48" i="21"/>
  <c r="BI26" i="21"/>
  <c r="BI42" i="21"/>
  <c r="BI59" i="21"/>
  <c r="BI56" i="21"/>
  <c r="BI49" i="21"/>
  <c r="BI64" i="21"/>
  <c r="BG58" i="21"/>
  <c r="BI47" i="21"/>
  <c r="BG53" i="21"/>
  <c r="K36" i="21"/>
  <c r="BI19" i="21"/>
  <c r="BI52" i="19" a="1"/>
  <c r="BI52" i="19" s="1"/>
  <c r="BI35" i="19" a="1"/>
  <c r="BI35" i="19" s="1"/>
  <c r="BI18" i="19" a="1"/>
  <c r="BI18" i="19" s="1"/>
  <c r="J228" i="15"/>
  <c r="F223" i="15"/>
  <c r="I223" i="15"/>
  <c r="L228" i="15"/>
  <c r="H211" i="15"/>
  <c r="K211" i="15"/>
  <c r="D211" i="15"/>
  <c r="D216" i="15"/>
  <c r="G216" i="15"/>
  <c r="C211" i="15"/>
  <c r="I211" i="15"/>
  <c r="E204" i="15"/>
  <c r="E199" i="15"/>
  <c r="K199" i="15"/>
  <c r="G184" i="15"/>
  <c r="H189" i="15"/>
  <c r="K184" i="15"/>
  <c r="E184" i="15"/>
  <c r="M189" i="15"/>
  <c r="G189" i="15"/>
  <c r="J184" i="15"/>
  <c r="I189" i="15"/>
  <c r="L184" i="15"/>
  <c r="F189" i="15"/>
  <c r="N172" i="15"/>
  <c r="K177" i="15"/>
  <c r="K172" i="15"/>
  <c r="H177" i="15"/>
  <c r="G177" i="15"/>
  <c r="J172" i="15"/>
  <c r="G172" i="15"/>
  <c r="I172" i="15"/>
  <c r="F172" i="15"/>
  <c r="H160" i="15"/>
  <c r="E160" i="15"/>
  <c r="H165" i="15"/>
  <c r="H150" i="15"/>
  <c r="K145" i="15"/>
  <c r="E150" i="15"/>
  <c r="K150" i="15"/>
  <c r="M145" i="15"/>
  <c r="J145" i="15"/>
  <c r="D145" i="15"/>
  <c r="I145" i="15"/>
  <c r="I150" i="15"/>
  <c r="F145" i="15"/>
  <c r="F150" i="15"/>
  <c r="E133" i="15"/>
  <c r="H133" i="15"/>
  <c r="G133" i="15"/>
  <c r="D133" i="15"/>
  <c r="C133" i="15"/>
  <c r="H121" i="15"/>
  <c r="K121" i="15"/>
  <c r="E121" i="15"/>
  <c r="N126" i="15"/>
  <c r="H111" i="15"/>
  <c r="K111" i="15"/>
  <c r="H106" i="15"/>
  <c r="J111" i="15"/>
  <c r="G106" i="15"/>
  <c r="F106" i="15"/>
  <c r="C106" i="15"/>
  <c r="L111" i="15"/>
  <c r="M94" i="15"/>
  <c r="J99" i="15"/>
  <c r="G94" i="15"/>
  <c r="F99" i="15"/>
  <c r="L99" i="15"/>
  <c r="I94" i="15"/>
  <c r="F94" i="15"/>
  <c r="C94" i="15"/>
  <c r="I99" i="15"/>
  <c r="H82" i="15"/>
  <c r="K65" i="15"/>
  <c r="G65" i="15"/>
  <c r="L70" i="15"/>
  <c r="K58" i="15"/>
  <c r="E58" i="15"/>
  <c r="K53" i="15"/>
  <c r="E53" i="15"/>
  <c r="N53" i="15"/>
  <c r="D58" i="15"/>
  <c r="J58" i="15"/>
  <c r="M53" i="15"/>
  <c r="D53" i="15"/>
  <c r="L53" i="15"/>
  <c r="K41" i="15"/>
  <c r="N41" i="15"/>
  <c r="H46" i="15"/>
  <c r="C177" i="15" l="1"/>
  <c r="BI18" i="14" a="1"/>
  <c r="BI18" i="14" s="1"/>
  <c r="D111" i="15"/>
  <c r="D177" i="15"/>
  <c r="D172" i="15"/>
  <c r="C172" i="15"/>
  <c r="C184" i="15"/>
  <c r="BI53" i="21"/>
  <c r="D189" i="15"/>
  <c r="C189" i="15"/>
  <c r="D184" i="15"/>
  <c r="D165" i="15"/>
  <c r="D228" i="15"/>
  <c r="D82" i="15"/>
  <c r="D106" i="15"/>
  <c r="D87" i="15"/>
  <c r="D223" i="15"/>
  <c r="E177" i="15"/>
  <c r="E172" i="15"/>
  <c r="E180" i="15"/>
  <c r="BI46" i="14"/>
  <c r="D168" i="15"/>
  <c r="BI24" i="14"/>
  <c r="BI41" i="14"/>
  <c r="D180" i="15"/>
  <c r="D160" i="15"/>
  <c r="BI58" i="14"/>
  <c r="C192" i="15"/>
  <c r="BI53" i="14"/>
  <c r="BI52" i="14" a="1"/>
  <c r="BI52" i="14" s="1"/>
  <c r="BI35" i="14" a="1"/>
  <c r="BI35" i="14" s="1"/>
  <c r="BI36" i="14"/>
  <c r="C180" i="15"/>
  <c r="BI52" i="21" a="1"/>
  <c r="BI52" i="21" s="1"/>
  <c r="BI36" i="21"/>
  <c r="BI58" i="21"/>
  <c r="BI29" i="21"/>
  <c r="BI46" i="21"/>
  <c r="BI63" i="21"/>
  <c r="BI35" i="21" a="1"/>
  <c r="BI35" i="2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<sst xmlns="http://schemas.openxmlformats.org/spreadsheetml/2006/main" count="2333" uniqueCount="611">
  <si>
    <t>Definitions</t>
  </si>
  <si>
    <t>&lt; 4 months</t>
  </si>
  <si>
    <t>Total (men and women)</t>
  </si>
  <si>
    <t>Total</t>
  </si>
  <si>
    <t>Men</t>
  </si>
  <si>
    <t>Women</t>
  </si>
  <si>
    <t>15-19</t>
  </si>
  <si>
    <t>20-24</t>
  </si>
  <si>
    <t>4 months</t>
  </si>
  <si>
    <t>6 months</t>
  </si>
  <si>
    <t>12 months</t>
  </si>
  <si>
    <t>Young persons aged 15-19</t>
  </si>
  <si>
    <t>&lt;4 months</t>
  </si>
  <si>
    <t>Young persons aged 20-24</t>
  </si>
  <si>
    <t>Stocks</t>
  </si>
  <si>
    <t>Employment</t>
  </si>
  <si>
    <t>Education</t>
  </si>
  <si>
    <t>Apprenticeship</t>
  </si>
  <si>
    <t>Traineeship</t>
  </si>
  <si>
    <t>Of which subsidised</t>
  </si>
  <si>
    <t>Unemployment</t>
  </si>
  <si>
    <t>Unknown</t>
  </si>
  <si>
    <t>Employment (subsidised)</t>
  </si>
  <si>
    <t>Breakdown by gender, age and duration</t>
  </si>
  <si>
    <t>Total exits (all durations)</t>
  </si>
  <si>
    <t>Exits within 4 months</t>
  </si>
  <si>
    <t>Education (subsidised)</t>
  </si>
  <si>
    <t>Apprenticeship (subsidised)</t>
  </si>
  <si>
    <t>Traineeship (subsidised)</t>
  </si>
  <si>
    <t>Destination:</t>
  </si>
  <si>
    <t>All known destinations</t>
  </si>
  <si>
    <t xml:space="preserve"> - The following categories are used:</t>
  </si>
  <si>
    <t xml:space="preserve"> - The following categories are used</t>
  </si>
  <si>
    <t xml:space="preserve"> - Registration with a YG Provider means that a young person has: </t>
  </si>
  <si>
    <r>
      <t xml:space="preserve"> - The observation required is the </t>
    </r>
    <r>
      <rPr>
        <b/>
        <sz val="11"/>
        <color theme="1"/>
        <rFont val="Calibri"/>
        <family val="2"/>
        <scheme val="minor"/>
      </rPr>
      <t>annual average stock</t>
    </r>
  </si>
  <si>
    <t>Months</t>
  </si>
  <si>
    <t>Jan</t>
  </si>
  <si>
    <t>Feb</t>
  </si>
  <si>
    <t>Mar</t>
  </si>
  <si>
    <t>Apr</t>
  </si>
  <si>
    <t>May</t>
  </si>
  <si>
    <t>Jun</t>
  </si>
  <si>
    <t>Jul</t>
  </si>
  <si>
    <t>Aug</t>
  </si>
  <si>
    <t>Sep</t>
  </si>
  <si>
    <t>Oct</t>
  </si>
  <si>
    <t>Nov</t>
  </si>
  <si>
    <t>Dec</t>
  </si>
  <si>
    <t>Contents</t>
  </si>
  <si>
    <t>The workbook contains the following sheets:</t>
  </si>
  <si>
    <t>Intro</t>
  </si>
  <si>
    <t>Entrants</t>
  </si>
  <si>
    <t>Exits</t>
  </si>
  <si>
    <t>Indicators</t>
  </si>
  <si>
    <t>Refs</t>
  </si>
  <si>
    <t>This sheet</t>
  </si>
  <si>
    <t>Definitions of key variables and data required</t>
  </si>
  <si>
    <t>General guidelines</t>
  </si>
  <si>
    <t>Qualitative</t>
  </si>
  <si>
    <t>Country</t>
  </si>
  <si>
    <t>Countries</t>
  </si>
  <si>
    <t>Belgium</t>
  </si>
  <si>
    <t>Bulgaria</t>
  </si>
  <si>
    <t>Denmark</t>
  </si>
  <si>
    <t>Germany</t>
  </si>
  <si>
    <t>Estonia</t>
  </si>
  <si>
    <t>Ireland</t>
  </si>
  <si>
    <t>Greece</t>
  </si>
  <si>
    <t>Spain</t>
  </si>
  <si>
    <t>France</t>
  </si>
  <si>
    <t>Croatia</t>
  </si>
  <si>
    <t>Italy</t>
  </si>
  <si>
    <t>Cyprus</t>
  </si>
  <si>
    <t>Latvia</t>
  </si>
  <si>
    <t>Lithuania</t>
  </si>
  <si>
    <t>Luxembourg</t>
  </si>
  <si>
    <t>Hungary</t>
  </si>
  <si>
    <t>Malta</t>
  </si>
  <si>
    <t>The Netherlands</t>
  </si>
  <si>
    <t>Austria</t>
  </si>
  <si>
    <t>Poland</t>
  </si>
  <si>
    <t>Portugal</t>
  </si>
  <si>
    <t>Romania</t>
  </si>
  <si>
    <t>Slovenia</t>
  </si>
  <si>
    <t>Slovakia</t>
  </si>
  <si>
    <t>Finland</t>
  </si>
  <si>
    <t>Sweden</t>
  </si>
  <si>
    <t>Contact name</t>
  </si>
  <si>
    <t>Positive destinations</t>
  </si>
  <si>
    <t>Negative destinations</t>
  </si>
  <si>
    <t>Unknown (YG experience)</t>
  </si>
  <si>
    <t>Inactivity</t>
  </si>
  <si>
    <t>Total
(all exits)</t>
  </si>
  <si>
    <t>Empl. (subs.)</t>
  </si>
  <si>
    <t>Educ. (subs.)</t>
  </si>
  <si>
    <t>Apprent. (subs.)</t>
  </si>
  <si>
    <t>Trainee. (subs.)</t>
  </si>
  <si>
    <t>Total (men &amp; women)</t>
  </si>
  <si>
    <t>[Select from list]</t>
  </si>
  <si>
    <t>Still in YG service after:</t>
  </si>
  <si>
    <t xml:space="preserve">Empl.  </t>
  </si>
  <si>
    <t>Educ.</t>
  </si>
  <si>
    <t xml:space="preserve">Apprent. </t>
  </si>
  <si>
    <t>Trainee.</t>
  </si>
  <si>
    <t>Unempl.</t>
  </si>
  <si>
    <t>Inact.</t>
  </si>
  <si>
    <t xml:space="preserve">Did not take-up an offer </t>
  </si>
  <si>
    <t>Took-up an offer</t>
  </si>
  <si>
    <r>
      <t>Previous YG experience (</t>
    </r>
    <r>
      <rPr>
        <b/>
        <sz val="11"/>
        <color theme="0"/>
        <rFont val="Calibri"/>
        <family val="2"/>
      </rPr>
      <t>§71)</t>
    </r>
  </si>
  <si>
    <t>None</t>
  </si>
  <si>
    <r>
      <t>Total entrants (</t>
    </r>
    <r>
      <rPr>
        <b/>
        <sz val="11"/>
        <color theme="0"/>
        <rFont val="Calibri"/>
        <family val="2"/>
      </rPr>
      <t>§57)</t>
    </r>
  </si>
  <si>
    <r>
      <t>Status on entry (</t>
    </r>
    <r>
      <rPr>
        <b/>
        <sz val="11"/>
        <color theme="0"/>
        <rFont val="Calibri"/>
        <family val="2"/>
      </rPr>
      <t>§68-69)</t>
    </r>
  </si>
  <si>
    <t>Registered unemployed</t>
  </si>
  <si>
    <t>ALERTS</t>
  </si>
  <si>
    <t>COMMENTS</t>
  </si>
  <si>
    <t>Please add here any comments about the data, particularly in case that any definitions differ from the manual</t>
  </si>
  <si>
    <t>In case of error, alerts will appear below
(do not edit here, correct the data to remove the alert)</t>
  </si>
  <si>
    <r>
      <t>Entrants (inflow) to the Youth Guarantee scheme (</t>
    </r>
    <r>
      <rPr>
        <b/>
        <sz val="14"/>
        <color theme="1"/>
        <rFont val="Calibri"/>
        <family val="2"/>
      </rPr>
      <t>§57)</t>
    </r>
  </si>
  <si>
    <r>
      <t>Breakdown by sex (</t>
    </r>
    <r>
      <rPr>
        <b/>
        <sz val="11"/>
        <color theme="0"/>
        <rFont val="Calibri"/>
        <family val="2"/>
      </rPr>
      <t>§63)</t>
    </r>
    <r>
      <rPr>
        <b/>
        <sz val="11"/>
        <color theme="0"/>
        <rFont val="Calibri"/>
        <family val="2"/>
        <scheme val="minor"/>
      </rPr>
      <t xml:space="preserve"> and age (§64)</t>
    </r>
  </si>
  <si>
    <r>
      <t>Breakdown by duration (</t>
    </r>
    <r>
      <rPr>
        <b/>
        <sz val="11"/>
        <color theme="0"/>
        <rFont val="Calibri"/>
        <family val="2"/>
      </rPr>
      <t>§</t>
    </r>
    <r>
      <rPr>
        <b/>
        <sz val="10"/>
        <color theme="0"/>
        <rFont val="Calibri"/>
        <family val="2"/>
      </rPr>
      <t>73-76)</t>
    </r>
  </si>
  <si>
    <t>4-5 months</t>
  </si>
  <si>
    <t>6-11 months</t>
  </si>
  <si>
    <t>12+ months</t>
  </si>
  <si>
    <r>
      <t>Breakdown by sex (§63), age (§64) and duration (</t>
    </r>
    <r>
      <rPr>
        <b/>
        <sz val="11"/>
        <color theme="0"/>
        <rFont val="Calibri"/>
        <family val="2"/>
      </rPr>
      <t>§77-78)</t>
    </r>
  </si>
  <si>
    <r>
      <t>Breakdown by destination (</t>
    </r>
    <r>
      <rPr>
        <b/>
        <sz val="11"/>
        <color theme="0"/>
        <rFont val="Calibri"/>
        <family val="2"/>
      </rPr>
      <t>§79-80)</t>
    </r>
  </si>
  <si>
    <t xml:space="preserve">** </t>
  </si>
  <si>
    <t xml:space="preserve">The definitions provided below are brief versions for guidance only. </t>
  </si>
  <si>
    <t>For full definitions please refer to the Methodological manual of the Indicator Framework for Monitoring the Youth Guarantee</t>
  </si>
  <si>
    <r>
      <t>Entrants (</t>
    </r>
    <r>
      <rPr>
        <b/>
        <u/>
        <sz val="11"/>
        <color theme="1"/>
        <rFont val="Calibri"/>
        <family val="2"/>
      </rPr>
      <t>§57</t>
    </r>
    <r>
      <rPr>
        <b/>
        <u/>
        <sz val="11"/>
        <color theme="1"/>
        <rFont val="Calibri"/>
        <family val="2"/>
        <scheme val="minor"/>
      </rPr>
      <t xml:space="preserve">) </t>
    </r>
  </si>
  <si>
    <r>
      <t xml:space="preserve"> - contacted a YG provider for assistance; </t>
    </r>
    <r>
      <rPr>
        <u/>
        <sz val="11"/>
        <color theme="1"/>
        <rFont val="Calibri"/>
        <family val="2"/>
        <scheme val="minor"/>
      </rPr>
      <t>and</t>
    </r>
  </si>
  <si>
    <t xml:space="preserve"> - had their personal details recorded in some form of register/database of YG clients</t>
  </si>
  <si>
    <r>
      <t>Stocks (</t>
    </r>
    <r>
      <rPr>
        <b/>
        <u/>
        <sz val="11"/>
        <color theme="1"/>
        <rFont val="Calibri"/>
        <family val="2"/>
      </rPr>
      <t>§59-60)</t>
    </r>
  </si>
  <si>
    <t>Relevant paragraphs are indicated in the text below and in the data collection fiches</t>
  </si>
  <si>
    <r>
      <t xml:space="preserve"> - Entrants refer to the </t>
    </r>
    <r>
      <rPr>
        <b/>
        <sz val="11"/>
        <color theme="1"/>
        <rFont val="Calibri"/>
        <family val="2"/>
        <scheme val="minor"/>
      </rPr>
      <t>number of young persons entering the Youth Guarantee scheme within the reference period.</t>
    </r>
    <r>
      <rPr>
        <sz val="11"/>
        <color theme="1"/>
        <rFont val="Calibri"/>
        <family val="2"/>
        <scheme val="minor"/>
      </rPr>
      <t xml:space="preserve"> The reference period is normally the calendar year  the data collection fiches allow alternative observations in case data are not available for the full year.</t>
    </r>
  </si>
  <si>
    <r>
      <t xml:space="preserve"> - Entry to the YG scheme is taken to be the date of registration, or re-registration, with a Youth Guarantee Provider (</t>
    </r>
    <r>
      <rPr>
        <sz val="11"/>
        <color theme="1"/>
        <rFont val="Calibri"/>
        <family val="2"/>
      </rPr>
      <t>§15-18)</t>
    </r>
    <r>
      <rPr>
        <sz val="11"/>
        <color theme="1"/>
        <rFont val="Calibri"/>
        <family val="2"/>
        <scheme val="minor"/>
      </rPr>
      <t>. This is not necessarily equivalent to registration with the PES.</t>
    </r>
  </si>
  <si>
    <t xml:space="preserve"> - If a young person remains registered after taking-up an offer (which represents an exit from the YG scheme) then it is also possible for a person to restart the YG service phase whilst already registered. A restart should be counted equally with a new start.</t>
  </si>
  <si>
    <t xml:space="preserve"> - For each breakdown (by sex/age/duration) take the sum of the stock in each month divided by the number of months covered. Figure 3 in the manual provides an illustration of how stocks and flows should be measured.</t>
  </si>
  <si>
    <r>
      <t>Exits (</t>
    </r>
    <r>
      <rPr>
        <b/>
        <u/>
        <sz val="11"/>
        <color theme="1"/>
        <rFont val="Calibri"/>
        <family val="2"/>
      </rPr>
      <t>§58</t>
    </r>
    <r>
      <rPr>
        <b/>
        <u/>
        <sz val="11"/>
        <color theme="1"/>
        <rFont val="Calibri"/>
        <family val="2"/>
        <scheme val="minor"/>
      </rPr>
      <t>)</t>
    </r>
  </si>
  <si>
    <r>
      <t xml:space="preserve"> - Exits refer to the </t>
    </r>
    <r>
      <rPr>
        <b/>
        <sz val="11"/>
        <color theme="1"/>
        <rFont val="Calibri"/>
        <family val="2"/>
        <scheme val="minor"/>
      </rPr>
      <t xml:space="preserve">number of young persons exiting the Youth Guarantee scheme (preparatory phase) within the reference period. </t>
    </r>
    <r>
      <rPr>
        <sz val="11"/>
        <color theme="1"/>
        <rFont val="Calibri"/>
        <family val="2"/>
        <scheme val="minor"/>
      </rPr>
      <t>The reference period is normally the calendar year  the data collection fiches allow alternative observations in case data are not available for the full year.</t>
    </r>
  </si>
  <si>
    <r>
      <t xml:space="preserve"> - Stock refers to the </t>
    </r>
    <r>
      <rPr>
        <b/>
        <sz val="11"/>
        <color theme="1"/>
        <rFont val="Calibri"/>
        <family val="2"/>
        <scheme val="minor"/>
      </rPr>
      <t>number of young persons registered in the YG scheme (in the YG preparatory phase) at any point in time</t>
    </r>
    <r>
      <rPr>
        <sz val="11"/>
        <color theme="1"/>
        <rFont val="Calibri"/>
        <family val="2"/>
        <scheme val="minor"/>
      </rPr>
      <t xml:space="preserve"> - i.e. persons that have registered with a YG Provider and have not yet taken up an offer. </t>
    </r>
  </si>
  <si>
    <r>
      <t xml:space="preserve"> - </t>
    </r>
    <r>
      <rPr>
        <b/>
        <sz val="11"/>
        <color theme="1"/>
        <rFont val="Calibri"/>
        <family val="2"/>
        <scheme val="minor"/>
      </rPr>
      <t>Exit occurs either on take-up of an offer or on deregistration before take-up of an offer</t>
    </r>
    <r>
      <rPr>
        <sz val="11"/>
        <color theme="1"/>
        <rFont val="Calibri"/>
        <family val="2"/>
        <scheme val="minor"/>
      </rPr>
      <t xml:space="preserve"> (§36). Each exit is counted so that the same person may be counted more than once within a year.</t>
    </r>
  </si>
  <si>
    <t xml:space="preserve"> - A young person may remain registered with the YG provider after having taken up an offer. For example, in the case that offers are delivered by the same YG provider. This person is considered to have exited the YG preparatory phase and is no longer part of the YG stock. They may, however, restart the YG service after leaving the offer for any reason.  </t>
  </si>
  <si>
    <r>
      <t xml:space="preserve"> - Age always refers to the </t>
    </r>
    <r>
      <rPr>
        <b/>
        <sz val="11"/>
        <color theme="1"/>
        <rFont val="Calibri"/>
        <family val="2"/>
        <scheme val="minor"/>
      </rPr>
      <t>age of a young person on registration</t>
    </r>
    <r>
      <rPr>
        <sz val="11"/>
        <color theme="1"/>
        <rFont val="Calibri"/>
        <family val="2"/>
        <scheme val="minor"/>
      </rPr>
      <t xml:space="preserve"> (i.e. at the start of each YG spell - on entry or re-entry to the YG preparatory phase)</t>
    </r>
  </si>
  <si>
    <t>183-364 days</t>
  </si>
  <si>
    <t>365 or more days</t>
  </si>
  <si>
    <t>&lt;122 days</t>
  </si>
  <si>
    <t>122-182 days</t>
  </si>
  <si>
    <t>Duration - exits (§77-78)</t>
  </si>
  <si>
    <t xml:space="preserve"> - Refers to the length of time that a person has been in the YG scheme (preparatory phase) measured by the observation date (e.g. end of the month) minus the registration date. </t>
  </si>
  <si>
    <t xml:space="preserve"> - Refers to the length of time that a person spent in the YG scheme (preparatory phase) measured by the exit date (date of take-up of an offer or deregistration for other reasons) minus the registration date. </t>
  </si>
  <si>
    <t>Proportion of young people in the YG preparatory phase beyond the 4 month target</t>
  </si>
  <si>
    <r>
      <t>Stocks: annual average stock of young persons registered in the YG scheme (preparartory phase) (</t>
    </r>
    <r>
      <rPr>
        <b/>
        <sz val="14"/>
        <color theme="1"/>
        <rFont val="Calibri"/>
        <family val="2"/>
      </rPr>
      <t>§</t>
    </r>
    <r>
      <rPr>
        <b/>
        <sz val="12.75"/>
        <color theme="1"/>
        <rFont val="Calibri"/>
        <family val="2"/>
      </rPr>
      <t>59-60)</t>
    </r>
  </si>
  <si>
    <r>
      <t>Exits (outflow) from the YG scheme (preparatory phase) (</t>
    </r>
    <r>
      <rPr>
        <b/>
        <sz val="14"/>
        <color theme="1"/>
        <rFont val="Calibri"/>
        <family val="2"/>
      </rPr>
      <t>§58)</t>
    </r>
  </si>
  <si>
    <t>Positive and timely exits from the YG preparatory phase</t>
  </si>
  <si>
    <t xml:space="preserve"> - The following breakdown is required:</t>
  </si>
  <si>
    <r>
      <t xml:space="preserve"> - </t>
    </r>
    <r>
      <rPr>
        <sz val="11"/>
        <color theme="1"/>
        <rFont val="Calibri"/>
        <family val="2"/>
        <scheme val="minor"/>
      </rPr>
      <t>15-19</t>
    </r>
  </si>
  <si>
    <t xml:space="preserve"> - Detailed definitions of the data required are given in the Methodological manual of the Indicator Framework for Monitoring the Youth Guarantee</t>
  </si>
  <si>
    <t>18 months after exit</t>
  </si>
  <si>
    <t>12 months after exit</t>
  </si>
  <si>
    <t>6 months after exit</t>
  </si>
  <si>
    <t xml:space="preserve">Positive </t>
  </si>
  <si>
    <t>Breakdown by situation</t>
  </si>
  <si>
    <t>Total
(all exits to trainee.)</t>
  </si>
  <si>
    <t>Total
(all exits to apprent.)</t>
  </si>
  <si>
    <t>Total
(all exits to educ.)</t>
  </si>
  <si>
    <t>Total
(all exits to empl.)</t>
  </si>
  <si>
    <t>Years</t>
  </si>
  <si>
    <t>In case of error, alerts will appear below.
Do not edit here, correct the data to remove the alert. If the error remains because of problems with the data (e.g. incomplete data) please use the comments column to explain</t>
  </si>
  <si>
    <t>[Do not edit this sheet - indicator values are calculated automatically from the data provided]</t>
  </si>
  <si>
    <t>Data refer to persons that exited the YG in :</t>
  </si>
  <si>
    <t>6m after exit</t>
  </si>
  <si>
    <t>12m after exit</t>
  </si>
  <si>
    <t>18m after exit</t>
  </si>
  <si>
    <t>Data refer to reference year :</t>
  </si>
  <si>
    <t>[Not provided]</t>
  </si>
  <si>
    <t>Input form for data on entrants (inflow) to the Youth Guarantee scheme in reference year T</t>
  </si>
  <si>
    <t>Input form for data on stocks of young persons in the Youth Guarantee preparatory phase in reference year T</t>
  </si>
  <si>
    <t>Input form for data on exits (outflow) from the Youth Guarantee scheme (preparatory phase) in reference year T</t>
  </si>
  <si>
    <t>Input form for data on the subsequent situation of persons that exited the YG scheme in reference year T</t>
  </si>
  <si>
    <t>Direct monitoring indicators</t>
  </si>
  <si>
    <t>Follow-up indicators</t>
  </si>
  <si>
    <t>Situation of young people 6, 12 and 18 months after exiting the YG preparatory phase</t>
  </si>
  <si>
    <r>
      <t>Main indicator (</t>
    </r>
    <r>
      <rPr>
        <b/>
        <sz val="11"/>
        <color theme="1"/>
        <rFont val="Calibri"/>
        <family val="2"/>
      </rPr>
      <t>§87-88)</t>
    </r>
    <r>
      <rPr>
        <b/>
        <sz val="11"/>
        <color theme="1"/>
        <rFont val="Calibri"/>
        <family val="2"/>
        <scheme val="minor"/>
      </rPr>
      <t>:</t>
    </r>
  </si>
  <si>
    <r>
      <t>Supplementary  indicator (</t>
    </r>
    <r>
      <rPr>
        <b/>
        <sz val="11"/>
        <color theme="1"/>
        <rFont val="Calibri"/>
        <family val="2"/>
      </rPr>
      <t>§89-90)</t>
    </r>
    <r>
      <rPr>
        <b/>
        <sz val="11"/>
        <color theme="1"/>
        <rFont val="Calibri"/>
        <family val="2"/>
        <scheme val="minor"/>
      </rPr>
      <t>:</t>
    </r>
  </si>
  <si>
    <t>Situation after 6 months</t>
  </si>
  <si>
    <t>All positive situations</t>
  </si>
  <si>
    <t>All negative situations</t>
  </si>
  <si>
    <r>
      <t xml:space="preserve">Note: data should always be reported in absolute numbers. </t>
    </r>
    <r>
      <rPr>
        <sz val="11"/>
        <color theme="8" tint="-0.499984740745262"/>
        <rFont val="Calibri"/>
        <family val="2"/>
        <scheme val="minor"/>
      </rPr>
      <t>Where the data reported cover the whole population then total exits reported for follow-up purposes should match total exits in the relevant year. Where sample data are used then the total in each table and each observation point (6, 12, 18m) should be the total number of the relevant population covered by the sample - e.g. in FU1 the total size of the sample, in FU2 the total number of persons in the sample that exited after taking up an offer of employment, etc.</t>
    </r>
  </si>
  <si>
    <t xml:space="preserve"> - All values entered (stocks/entrants/exits/subsequent situation) should be absolute numbers of young persons (see additional comments re subsequent situation on the follow-up sheets)</t>
  </si>
  <si>
    <t>Situation after 12 months</t>
  </si>
  <si>
    <t>Situation after 18 months</t>
  </si>
  <si>
    <t>Situation of young people 6, 12 and 18 months after exiting the YG preparatory phase by type of offer: Employment</t>
  </si>
  <si>
    <t>Situation of young people 6, 12 and 18 months after exiting the YG preparatory phase by type of offer: Continued education</t>
  </si>
  <si>
    <t>Situation of young people 6, 12 and 18 months after exiting the YG preparatory phase by type of offer: Apprenticeship</t>
  </si>
  <si>
    <t>Situation of young people 6, 12 and 18 months after exiting the YG preparatory phase by type of offer: Traineeship</t>
  </si>
  <si>
    <t>Direct monitoring and follow-up indicators for reference year T</t>
  </si>
  <si>
    <t>FU1: Situation of young people 6, 12 and 18 months after exiting the YG preparatory phase</t>
  </si>
  <si>
    <t>FU2: Situation of young people 6, 12 and 18 months after exiting the YG preparatory phase with an offer of employment</t>
  </si>
  <si>
    <t>FU3: Situation of young people 6, 12 and 18 months after exiting the YG preparatory phase with an offer of continued education</t>
  </si>
  <si>
    <t>FU4: Situation of young people 6, 12 and 18 months after exiting the YG preparatory phase with an offer of an apprenticeship</t>
  </si>
  <si>
    <t>FU5: Situation of young people 6, 12 and 18 months after exiting the YG preparatory phase with an offer of a traineeship</t>
  </si>
  <si>
    <r>
      <t>Exits by subsequent situation (</t>
    </r>
    <r>
      <rPr>
        <b/>
        <sz val="14"/>
        <color theme="1"/>
        <rFont val="Calibri"/>
        <family val="2"/>
      </rPr>
      <t xml:space="preserve">§82-83): </t>
    </r>
    <r>
      <rPr>
        <b/>
        <sz val="14"/>
        <color rgb="FFFF0000"/>
        <rFont val="Calibri"/>
        <family val="2"/>
      </rPr>
      <t>Follow-up of reference year T</t>
    </r>
  </si>
  <si>
    <t>Indicators (all indicators for reference year T)</t>
  </si>
  <si>
    <r>
      <t>Main indicator (</t>
    </r>
    <r>
      <rPr>
        <b/>
        <sz val="11"/>
        <color theme="1"/>
        <rFont val="Calibri"/>
        <family val="2"/>
      </rPr>
      <t>§94-96)</t>
    </r>
    <r>
      <rPr>
        <b/>
        <sz val="11"/>
        <color theme="1"/>
        <rFont val="Calibri"/>
        <family val="2"/>
        <scheme val="minor"/>
      </rPr>
      <t>:</t>
    </r>
  </si>
  <si>
    <t>Supplementary indicator (§97-99):</t>
  </si>
  <si>
    <t>EMPLOYMENT</t>
  </si>
  <si>
    <t>CONTINUED EDUCATION</t>
  </si>
  <si>
    <t>TRAINEESHIP</t>
  </si>
  <si>
    <t>APPRENTICESHIP</t>
  </si>
  <si>
    <t xml:space="preserve"> - Data should be input to unshaded cells only. All other cells are protected and cannot be changed.</t>
  </si>
  <si>
    <t>Reference information used in the input forms (hidden and not to be edited)</t>
  </si>
  <si>
    <t>Data collection on Youth Guarantee schemes</t>
  </si>
  <si>
    <r>
      <rPr>
        <b/>
        <u/>
        <sz val="11"/>
        <color theme="1"/>
        <rFont val="Calibri"/>
        <family val="2"/>
        <scheme val="minor"/>
      </rPr>
      <t>Age (</t>
    </r>
    <r>
      <rPr>
        <b/>
        <u/>
        <sz val="11"/>
        <color theme="1"/>
        <rFont val="Calibri"/>
        <family val="2"/>
      </rPr>
      <t>§64)</t>
    </r>
  </si>
  <si>
    <r>
      <rPr>
        <b/>
        <u/>
        <sz val="11"/>
        <color theme="1"/>
        <rFont val="Calibri"/>
        <family val="2"/>
        <scheme val="minor"/>
      </rPr>
      <t>Duration - stocks (</t>
    </r>
    <r>
      <rPr>
        <b/>
        <u/>
        <sz val="11"/>
        <color theme="1"/>
        <rFont val="Calibri"/>
        <family val="2"/>
      </rPr>
      <t>§73-76</t>
    </r>
    <r>
      <rPr>
        <b/>
        <u/>
        <sz val="11"/>
        <color theme="1"/>
        <rFont val="Calibri"/>
        <family val="2"/>
        <scheme val="minor"/>
      </rPr>
      <t>)</t>
    </r>
  </si>
  <si>
    <t>The following data are expected.</t>
  </si>
  <si>
    <t>Metadata</t>
  </si>
  <si>
    <t>Note: Blank means data are missing/not available. Please complete cells with 0 where real zero values apply.</t>
  </si>
  <si>
    <t>With previous experience</t>
  </si>
  <si>
    <t>Other</t>
  </si>
  <si>
    <t xml:space="preserve"> - In the input tables, blank cells mean that data are missing/not available. Please complete cells with real zeroes wherever relevant.</t>
  </si>
  <si>
    <t xml:space="preserve"> - Please use the Metatdata sheet to provide general comments about the data and to inform of any ways in which the data are known to diverge from the specifications of the methodological manual.</t>
  </si>
  <si>
    <t>Not applicable</t>
  </si>
  <si>
    <r>
      <rPr>
        <b/>
        <sz val="11"/>
        <color rgb="FF9C0006"/>
        <rFont val="Calibri"/>
        <family val="2"/>
        <scheme val="minor"/>
      </rPr>
      <t>Note:</t>
    </r>
    <r>
      <rPr>
        <sz val="11"/>
        <color rgb="FF9C0006"/>
        <rFont val="Calibri"/>
        <family val="2"/>
        <scheme val="minor"/>
      </rPr>
      <t xml:space="preserve"> Blank means data are missing/not available. Please complete cells with 0 where real zero values apply.</t>
    </r>
  </si>
  <si>
    <t xml:space="preserve">            Not applicable = Exits that have not yet reached the observation point at the time of data collection.</t>
  </si>
  <si>
    <t>Follow-up T</t>
  </si>
  <si>
    <t>Follow-up T-1</t>
  </si>
  <si>
    <t>Input form for updating and completing data on the subsequent situation of persons that exited the YG scheme in reference year T-1</t>
  </si>
  <si>
    <t>Young persons aged 25-29</t>
  </si>
  <si>
    <t>All young persons aged 15-29</t>
  </si>
  <si>
    <r>
      <t>Exits by subsequent situation (</t>
    </r>
    <r>
      <rPr>
        <b/>
        <sz val="14"/>
        <color theme="1"/>
        <rFont val="Calibri"/>
        <family val="2"/>
      </rPr>
      <t xml:space="preserve">§82-83): </t>
    </r>
    <r>
      <rPr>
        <b/>
        <sz val="14"/>
        <color rgb="FFFF0000"/>
        <rFont val="Calibri"/>
        <family val="2"/>
      </rPr>
      <t>Follow-up of reference year T-1</t>
    </r>
  </si>
  <si>
    <r>
      <t>Exits by subsequent situation (</t>
    </r>
    <r>
      <rPr>
        <b/>
        <sz val="14"/>
        <color theme="1"/>
        <rFont val="Calibri"/>
        <family val="2"/>
      </rPr>
      <t xml:space="preserve">§82-83): </t>
    </r>
    <r>
      <rPr>
        <b/>
        <sz val="14"/>
        <color rgb="FFFF0000"/>
        <rFont val="Calibri"/>
        <family val="2"/>
      </rPr>
      <t>Follow-up of reference year T-2</t>
    </r>
  </si>
  <si>
    <t>Follow-up T-2</t>
  </si>
  <si>
    <t>Input form for updating and completing data on the subsequent situation of persons that exited the YG scheme in reference year T-2</t>
  </si>
  <si>
    <r>
      <t xml:space="preserve">Qualitative information about the data provider,  the data provided and any known methodological issues. </t>
    </r>
    <r>
      <rPr>
        <b/>
        <sz val="11"/>
        <color rgb="FFFF0000"/>
        <rFont val="Calibri"/>
        <family val="2"/>
        <scheme val="minor"/>
      </rPr>
      <t>Q3-Q7 are mandatory.</t>
    </r>
  </si>
  <si>
    <t>Breakdown by sex (§63) and age (§64)</t>
  </si>
  <si>
    <t>BE</t>
  </si>
  <si>
    <t>CZ</t>
  </si>
  <si>
    <t>DE</t>
  </si>
  <si>
    <t>ES</t>
  </si>
  <si>
    <t>FR</t>
  </si>
  <si>
    <t>IT</t>
  </si>
  <si>
    <t>CY</t>
  </si>
  <si>
    <t>LU</t>
  </si>
  <si>
    <t>HU</t>
  </si>
  <si>
    <t>BG</t>
  </si>
  <si>
    <t>DK</t>
  </si>
  <si>
    <t>EE</t>
  </si>
  <si>
    <t>IE</t>
  </si>
  <si>
    <t>EL</t>
  </si>
  <si>
    <t>HR</t>
  </si>
  <si>
    <t>LV</t>
  </si>
  <si>
    <t>LT</t>
  </si>
  <si>
    <t>MT</t>
  </si>
  <si>
    <t>NL</t>
  </si>
  <si>
    <t>AT</t>
  </si>
  <si>
    <t>PL</t>
  </si>
  <si>
    <t>PT</t>
  </si>
  <si>
    <t>RO</t>
  </si>
  <si>
    <t>SI</t>
  </si>
  <si>
    <t>SK</t>
  </si>
  <si>
    <t>FI</t>
  </si>
  <si>
    <t>SE</t>
  </si>
  <si>
    <t>Org. name</t>
  </si>
  <si>
    <t>Email</t>
  </si>
  <si>
    <t>Providers</t>
  </si>
  <si>
    <t>Participants</t>
  </si>
  <si>
    <t>Direct data year</t>
  </si>
  <si>
    <t>FU T year</t>
  </si>
  <si>
    <t>FU T-1 year</t>
  </si>
  <si>
    <t>FU T-2 year</t>
  </si>
  <si>
    <t>Gen. Comments</t>
  </si>
  <si>
    <t>Mth_entrants</t>
  </si>
  <si>
    <t>Mth_stock</t>
  </si>
  <si>
    <t>Mth_exits</t>
  </si>
  <si>
    <t>Exits_source</t>
  </si>
  <si>
    <t>Exits_missing outcomes</t>
  </si>
  <si>
    <t>Exits_break time</t>
  </si>
  <si>
    <t>FU T</t>
  </si>
  <si>
    <t>FU T-1</t>
  </si>
  <si>
    <t>FU T-2</t>
  </si>
  <si>
    <t>FU_source</t>
  </si>
  <si>
    <t>FU_missed outcomes</t>
  </si>
  <si>
    <t>Comparability</t>
  </si>
  <si>
    <t>Qualitative information referring to the latest data (hidden and not to be edited)</t>
  </si>
  <si>
    <t>Ministry of Labour and Social Affairs</t>
  </si>
  <si>
    <t>Krupička Lukáš</t>
  </si>
  <si>
    <t>lukas.krupicka@mpsv.cz</t>
  </si>
  <si>
    <t>Public Employment Service (PES)</t>
  </si>
  <si>
    <t xml:space="preserve">Young people aged 15-29 registered with the PES as unemployed. </t>
  </si>
  <si>
    <t xml:space="preserve"> - Breakdown of entrants by previous YG experience is missing.
 - Re-entrants of participants that had initially exited to a training are not recorded.</t>
  </si>
  <si>
    <t xml:space="preserve"> - Stocks include young people participating in ALMP that do not break the unemployment spell.
- Participants who remain longer than 12 months in the YG are not included in exits or stocks</t>
  </si>
  <si>
    <t xml:space="preserve"> - Exit from the YG coincides with end of the spell as registered unemployed thus exits to unemployment are reported as zero. 
-  Participants who remain longer than 12 months in the YG are not included in exits.
 -  Exits to continued education include exits to 1-day trainings. However, this is very rare.
 - For exits to ALMP where participants remain registered with the PES, a participant may have two exits (but only one entry). 
 -  Exits to inactivity cannot be monitored.
 -  Exits to traineeships that take place in the Czech Republic are recorded as exits to employment. Exits to traineeships that take place abroad are correctly recorded as exits to traineeships.
-  Apprenticeships are not a possible destination as there is no dual system.</t>
  </si>
  <si>
    <t xml:space="preserve">Information system of Labour Office, however, it provides limited information  </t>
  </si>
  <si>
    <t xml:space="preserve">There will be share of positive outcomes in the unknown category as people can leave job-seekers register without announcement that they are going to enter emplyoment. </t>
  </si>
  <si>
    <t>Not available.</t>
  </si>
  <si>
    <t>Employment agency</t>
  </si>
  <si>
    <t>Ivo Ivanov</t>
  </si>
  <si>
    <t>Ivo.Ivanov@az.government.bg</t>
  </si>
  <si>
    <t>Young people aged 15-29 registered with the PES as unemployed.</t>
  </si>
  <si>
    <t>Since 2018 (ref. year 2017), more situations can ne monitored in follow-up data (including apprenticeships and traineeships) by using data from registers from different institutions combined with tracking of a representative sample of individuals. Due to communication problems with Ministry of Education and Science caused by the implementation of GDPR this year (2018 data) it has not been possible to check the status of YG participants in MES register.
Age for reported average stock is calculated at the end of each month, meaning those who become older than 25 are no longer considered in the annual stock. The age of participants in inflows and outflows are calculated at the date of entrance/ exit in/from measure.</t>
  </si>
  <si>
    <t xml:space="preserve"> - Exit coincides with end of the unemployment spell so destination unemployment is always zero.  
- Exits to education correspond to reinsertion to the regular education/training system without any specific programme designed to promote this transition
- Exits to apprenticeships are not available as of ref. year 2019. In previous years they included some traineeship offers recorded as apprenticeships as well as take-up of dual-learning training system (not subsidised, but all recorded as subsidised). 
- Exits to inactivity include sanctions (registration to YG terminated by PES due to failure to comply with recommendations or refusal of offer). </t>
  </si>
  <si>
    <t>The data in Exits is formed by the reason for the termination of the registration according to the register of the Employment agency. "Employment" refers to all persons with terminated registration due to "starting work". "Apprenticeship" includes all persons with terminated registration "started work on programs / measures - apprenticeship" (unknown since 2019).  In "Traineeship" are recorded all persons with terminated registration "started work on program / measure - internship". "Education" refers to all persons who returned into regular education system.</t>
  </si>
  <si>
    <t>Risk of missing information for persons in a positive outcomes exists among those who leave the register of the unemployed on their own request, without specifying the reason for this. A check in the National Revenue Agency for a sample of 418 young people from this group showed that 11.3% of them had a registered employment contract in the month in which their registration with the Employment Agency was terminated by their request. These persons have been reported in the "Unknown" destination. Since 2019, exits to apprenticeships cannot be monitored and are reported under "unknown".</t>
  </si>
  <si>
    <t>None.  If the person provides proof of a good reason for not being available to receive YG services, his/her registration is renewed and there is no interruption of his period as an unemployed (for example illnes).</t>
  </si>
  <si>
    <t>Any apprenticeships are recorded as employment since 2019. Inactivity cannot be monitored.</t>
  </si>
  <si>
    <t>Same as T</t>
  </si>
  <si>
    <t xml:space="preserve">The follow-up of the participants' status is checked at the date of the 6th, 12th and 18th months after their exit of YG in the Register of Labour Contracts of the National Revenue Agency, and their status as unemployed in the register of the unemployed of the Employment Agency. Situation traineeship refers to participants still in the traineeship offer. </t>
  </si>
  <si>
    <t>Since 2018 (ref. year 2017), more situations can be monitored in follow-up data (including apprenticeships and traineeships) by using data from registers from different institutions combined with tracking of a representative sample of individuals.
Persons who do not have active registration in both the National Revenue Agency and the Employment Agency registers are in the "unknown" category. The risk of missing positive outcome information is only possible for persons involved in formal education and training. Checking the Ministry of Education and Science register for these situations during this data collection was not possible.</t>
  </si>
  <si>
    <t>In 2017 and 2018, situation apprenticeships and traineeships in follow-up data was monitored. Since 2019, apprenticeships are recorded under employment and traineeships only refer to those still in the traineeship offer.</t>
  </si>
  <si>
    <t>Federal Ministry of Labour</t>
  </si>
  <si>
    <t>Valerie Bösch</t>
  </si>
  <si>
    <t>valerie.boesch@bma.gv.at</t>
  </si>
  <si>
    <t>Public Employment Service (PES) (AMS)</t>
  </si>
  <si>
    <t>Young people aged 15-29 registered with the PES as unemployed or as apprenticeship seekers or who directly started a PES measure which had a duration of more than 62 days (measures of less than this duration are not considered to be high quality offers in the context of the YG).</t>
  </si>
  <si>
    <t xml:space="preserve">For some measures, were the quality cannot be identified in the data ex ante, only courses attendances that lasted more than 2 months are taken into account. Thus , courses which were discontinued by the participant are excluded (despite possible good quality). As a result the number of good quality offers might be underestimated and the duration of YG-service periods overestimated for thos participants. </t>
  </si>
  <si>
    <t>Data on previous YG experience cover previous experience since 2009.</t>
  </si>
  <si>
    <t xml:space="preserve"> </t>
  </si>
  <si>
    <t xml:space="preserve"> - Destination is determined the day after exit from the YG. If a person starts the offer some days later (e.g. with a break of one week), the type of offer is identified as unknown. This includes people exiting to some types of adult education (catch-up and adult education). 
- Exit coincides with end of the unemployment spell. Thus, destination unemployment is always zero.
-  Not all adult and catch-up education courses are recorded on the main education register (or by the register of PES training measures). Take-up of such courses is thus not recorded and forms part of exits with unknown destination. Exits to education include only exits to formal education/initial training and PES-subsidised training.
-  Destination traineeship is not recorded separately. Exits to paid traineeships are counted as exits to employment whereas exits to unpaid traineeships are not taken into account as YG offers. In practice, the traineeships for which data are available (paid traineeship with employment relationship) do not include formalised learning so this treatment is in line with the methodology.
</t>
  </si>
  <si>
    <t>Destination is determined the day after exit from YG. For this the data of BibEr ("Bildungsbezogenes Erwerbskarrierenmonitoring"), which links different registers (education, employment, PES) is used; see: http://www.statistik.at/web_de/statistiken/menschen_und_gesellschaft/bildung/bildungsbezogenes_erwerbskarrierenmonitoring_biber/index.html</t>
  </si>
  <si>
    <t>* not all adult and catch-up education is covered by the registers;take-up of these courses is identified as unknown (only formal education system or PES-financed training)
* destination is determined the day after exit from yg-service. If a person starts the offer later, the type of offer is identified as unknown. If for example young person wait for an apprenticeship offer to start and do not receive UB and therefore deregister, or is waiting for school to start, this might be the case. 
Unknown might also include persons on sick benefits, child benefits, maternaty leave etc.</t>
  </si>
  <si>
    <t>* it depends on the offer (see general comment); if offer can ex ante be identified in the data as a high quality offer (e.g. "Fachkräftestipendium" or similar) no minimum duration; if this cannot be identified in the data, as e.g. in PES training and qualification courses, minimum duration (ex post) is 62 days</t>
  </si>
  <si>
    <t>For this the data of BibEr ("Bildungsbezogenes Erwerbskarrierenmonitoring") is used, which links different registers (education, employment, PES); see: http://www.statistik.at/web_de/statistiken/menschen_und_gesellschaft/bildung/bildungsbezogenes_erwerbskarrierenmonitoring_biber/index.html</t>
  </si>
  <si>
    <t>see answer above on risk of missing positive outcomes in the unknown category (uses the same method)</t>
  </si>
  <si>
    <t>Federal Employment Agency</t>
  </si>
  <si>
    <t>Mr. M. Gehricke, Mr. P.M. Schumacher</t>
  </si>
  <si>
    <t>peter-michael.schumacher@arbeitsagentur.de</t>
  </si>
  <si>
    <t>Federal Employment Agency, joint facilities (Jobcentres gE) and approved local authority agencies (Jobcentres zkT)</t>
  </si>
  <si>
    <t>Young people aged 15-29 registered at the PES as unemployed or applicants for vocational training.</t>
  </si>
  <si>
    <t>Contains number of spells not of persons.
With previous YG experience: there is no differentiation possible resp. took-up an offer or not. Total (men and woman): n/a excluded.</t>
  </si>
  <si>
    <t>Computation of duration differs slightly from definition.</t>
  </si>
  <si>
    <t xml:space="preserve">- Exits contain the number of spells not of persons.
- Empl: self-employment, military or alternative services.
- Educ: school, off-the-job training.
- Apprent: vocational training.
- Trainnee: other education, LMP measures, job creation.
- Inact: non-working, illness, leaving work, non-availability.
- Unknown: n/a.
- Unempl: not applicable, according to the national definition person remains in YG.
- Total (men and woman): n/a excluded. Also applicants for vocational training cannot exit YG into unemployment. With deregistration as applicant and registration as unemployed the participation in YG continues.
- Exit from the YG coincides with the end of the unemployment spell, thus, exits to unempoyment are reported as zero. 
- Exits to employment and traineeships include some exits to education. 
- Exits to education include some exits to apprenticeships. 
- Exits to apprenticeships include some exits to education. 
</t>
  </si>
  <si>
    <t>Source is administration data of the employment agencies and Jobcentres (both gE and zkT) based on the jobseekers' information concerning their situation immediately after the end of unemployment or job search.</t>
  </si>
  <si>
    <t>Persons without entitlement to benefits sometimes leave the support of the employment agency without any notice. In this case, the destination is unknown.</t>
  </si>
  <si>
    <t>There is no minimum duration.</t>
  </si>
  <si>
    <t>- Follow-up data are provided only when exits of the entire year can be monitored (situation not applicable = 0). Thus, follow-up data for 2020 exits have not been provided (will be provided in the next data collection exercise). Data with waiting period ("Daten mit Wartezeit"). Waiting period usually 6 months, if 6-month values are not yet available, then 2 months).</t>
  </si>
  <si>
    <t>Same as T.</t>
  </si>
  <si>
    <t>Sources: Administrative data of employment agencies and Jobcentres and registration data on employment subject to social insurance.</t>
  </si>
  <si>
    <t>The positive outcome is not recorded if the employer fails to report the employment to the social insurances in due time.</t>
  </si>
  <si>
    <t xml:space="preserve">The data are fully comparable. </t>
  </si>
  <si>
    <t>OAED (Manpower Employment Organization)</t>
  </si>
  <si>
    <t>PES (OAED)</t>
  </si>
  <si>
    <t>PES register 
Deregistration must come with a reason so possible reasons are characterized as positive, negative or unknown. Also, exits to training that do not result to deregistration are exported from information that is being recorded in the registered's info/Individual Action Plan (IAP)</t>
  </si>
  <si>
    <t xml:space="preserve">PES:
 - Exits to self-employment are not fully recorded in database except for participants in ALMPs. Only a few cases of self employment are actually reported to OAED (usually the unemployment spell ends due to no renewal-no estimation possible). However, through tax records documents, self employment is retroactively recorded to the database for those that (against regulations) continue to renew their unemployment card, but most of the times not before the end of next year. 
 - Information about possible exits to education not available in general (not monitored by OAED). If reported or proved a posteriori, thus recorded retroactively, they are included in the data, yet still severe underestimation occurs.
 - Exits to traineeship are not fully recorded in database due to no obligation for reporting it to OAED. 
- Exits to apprenticeships (outside the framework of EPAS) are not recorded as such in the PES registry, they are recorded as other reasons and can't be distinguished.
</t>
  </si>
  <si>
    <t>EPAS register: Follow-up data are estimated based on the duration of the programme.</t>
  </si>
  <si>
    <t xml:space="preserve">a. PES register, regarding unemployment
b. ERGANI IS for salaried employment (both subsidised and unsubsidised), training courses sponsored by ESF and apprenticeships (both inside and outside the framework of the EPAS programs).
These two Systems interconnect, so there is no overlapping between employment and unemployment. This however, does not apply for training, because one can be both unemployed and in training at the same time (and can be found both in PES register and ERGANI IS). In these cases the future situation is recorded as "in training". </t>
  </si>
  <si>
    <t>Follow-up data for future situation being self-employment, education and inactivity cannot be monitored.</t>
  </si>
  <si>
    <t xml:space="preserve"> - Exits to education are provided for the first time and are based on self-reporting
 - Exits to subsidised traineeships and education are provided for the first time</t>
  </si>
  <si>
    <t>DARES</t>
  </si>
  <si>
    <t>Mathieu SIGAL
Cindy REIST</t>
  </si>
  <si>
    <t>mathieu.sigal@travail.gouv.fr
cindy.reist@travail.gouv.fr</t>
  </si>
  <si>
    <t>Pôle emploi : Young people aged 15-25, registered as unemployed with Pôle Emploi</t>
  </si>
  <si>
    <t xml:space="preserve"> - Participants registered with both Pôle Emploi and Missions Locales may be double counted.
 - Data cover participants aged 16-25 years old and not 15-24.
 </t>
  </si>
  <si>
    <t>Breakdown of entrants with previous YG experience (with and without an offer) is not available. 
Pôle Emploi:
 - Entrants (and re-entrants) are only counted if they were not registered in the previous 6 months. The Indicator Framework does not foresee any restriction on the frequency of re-entry (except §21 of the methodological manual, which implies that interruptions of less than 28 are not considered to break the YG spell). Flows through the YG will therefore be understated. 
 - Entry to the YG coincides with registration with Pôle Emploi as category A (jobless people) therefore, all entrants are registered unemployed and recorded accordingly.
Missions Locales:
 - Entry corresponds to entry in one of the four programmes provided by youth centres.
 - Registered unemployed refers to people registered as unemployed with Pôle Emploi.</t>
  </si>
  <si>
    <t xml:space="preserve"> Missions Locales: Stock figures are overstated:
- Participants entering measures that do not break the spell, continue to be counted in stock until the end of their programme in the preparatory phase.
- Participants having two exits are counted in stock until the second exit if this is the one taken into account (see comment in exits below).</t>
  </si>
  <si>
    <t>Pôle Emploi:
 - Exits to regular education are recorded as exits to traineeships.
 - Exits to apprenticeships are recorded as exits to employment.
 - Exits to unemployment refer to people still registered as a category A jobseeker after 18 months but who have not received an offer in this period. The Indicator Framework does not foresee a time-limit to participation in the preparatory phase so such people should normally be considered as part of the stock and not as exits, and continue to receive YG services.
 - Data on inactivity are not available (included under unknown).
 - Unknown exits refer to people who are no longer on the register 18 months after entry and who have no record of being placed in work or training.
- The observation point for negative (i.e. unemployment) and unknown destinations does not reflect the actual point of exit (exits are recorded only after 18 months). It means they may not be reported in the year in which they occur and that none can occur within 4 months (i.e. 100% of timely exits are positive).
Missions Locales:
 - Exit corresponds to end of a program provided by youth centres without having been in another program during the next 1 month. 
 - Situation recorded based on information provided by participants. For positive situation, the "closest to employment" is recorded. Negative exits cannot be distinguished between inactivity or unemployment (included under unemployment). Exits to unemployment include non-registered unemployed.</t>
  </si>
  <si>
    <t>The source is the historical file of Pole Emploi (the data were also compiled by Pole Emploi)
Missions Liocales: The destination of the exit are filled by the youngs' counselors in the missions locales application.</t>
  </si>
  <si>
    <t>Exits are recorded only after 18 months, and this has an an effect on their destinations (see above)
Missions Liocales: Positive outcomes can be missed if counselors do not know about them.</t>
  </si>
  <si>
    <t>Not available</t>
  </si>
  <si>
    <t>N/A</t>
  </si>
  <si>
    <t xml:space="preserve">Department of Labour </t>
  </si>
  <si>
    <t>Alexandros Alexandrou</t>
  </si>
  <si>
    <t>director@dl.mlsi.gov.cy</t>
  </si>
  <si>
    <t xml:space="preserve"> - Data on YG entrants for 2014 and 2015 are not compliant with the YG methodology and are not consistent with subsequent years. 
 - 2017 exits data include exits to inactivity (destination missing for previous years).
 - Following the Ministerial Decision No 82.709, 25/05/2017, monitoring data have been expanded to also cover the age group 25-29 as of reference year 2018. </t>
  </si>
  <si>
    <t xml:space="preserve">Young people aged 15-29 registered as unemployed with the PES </t>
  </si>
  <si>
    <t>Exit to inactivity as there was misinterpretation of unknown destination and inactivity. 
The monitoring system is impemented and used for data 2020. Currently ALMP's imported and monitored in the system are the ones offered by the Department of Labour and Human Resource Developing Authority of Cyprus .</t>
  </si>
  <si>
    <t>-</t>
  </si>
  <si>
    <t xml:space="preserve"> - Exit from the YG does not coincides with the end of unemployment. Exit from the YG is counted when participant receive an offer or inactivity 
- Exits to unemployment means that the exit occurred  less than 30 days. </t>
  </si>
  <si>
    <t>Social insurance register: Since July 2020 we carry out monthly checks with Social Insurance registry in order to locate new active employments. PES regster is also used</t>
  </si>
  <si>
    <t xml:space="preserve"> - Exits to education and apprenticeships cannot be monitored and are recorded under unknown destinations.</t>
  </si>
  <si>
    <t xml:space="preserve">In case of employment , recorded 28 days </t>
  </si>
  <si>
    <t xml:space="preserve"> - Follow-up data for situations apprenticeship, traineeship and education are not available.
 - Follow-up data for participants that had not reached the 12- and 18-month observation point at the time of the data collection (situation not applicable currently reported as unknown) are not available. </t>
  </si>
  <si>
    <t>We compile follow up data using PES registry and Social Insurance records</t>
  </si>
  <si>
    <t xml:space="preserve">New monitoring system is implemented (automatic renewals of unemployment spell reduced exits)
Social insurance register is used in addition to the PES register for exits 
Participants in training (when &gt; 30 days) who remain registered unemployed are excluded from stocks during the training
Employment count as exit only when lasting more than 28 days
Exits to inactivity are unknown (used to include people who are not in employment, not in unemployment or training)
</t>
  </si>
  <si>
    <t>Ministry for Innovation and Technology</t>
  </si>
  <si>
    <t>Nikoletta Lukács Kovácsné,                                                                        Alfonz Holtner</t>
  </si>
  <si>
    <t>nikoletta.lukacs.kovacsne@itm.gov.hu,                                      alfonz.holtner@itm.gov.hu</t>
  </si>
  <si>
    <t xml:space="preserve">Young people aged 15-24 registered in the YG scheme. Not all those registered unemployed are registered in the YG.  All young people are informed about the Youth Guarantee Scheme as well as about labour market programmes provided in its framework. Young people not registered as unemployed can still register in the YG via the PES. </t>
  </si>
  <si>
    <t>YG implementation started in 2015. 
Data for reference year 2014 are not comparable. Data for 2014 cover all young people aged 15-24 registered as unemployed with the PES and used slightly non-standard time-periods for stocks by duration. Data after 2015 cover young people registered with the YG after 1 January 2015. 
From 2016, stocks are calculated as average of daily stocks (instead of average of monthly stocks).</t>
  </si>
  <si>
    <t>Stocks are calculated based on daily figures.</t>
  </si>
  <si>
    <t xml:space="preserve"> - Exits to apprenticeship cannot be recorded separately, they are part of regular education system and are thus recorded under education.
 - Exits to traineeships are recorded under employment.
 - Exits to unemployment correspond to participants referred to other services (e.g. health/social services) and are deregistered from YG yet remain registered as unemployed.
 - Exits to inactivity include drop-outs with mutual consent, as well as women in maternity cover (not available for work or education for a long period). Exits to inactivity can also mean that PES lost touch with a young person despite the counsellor's best efforts and with no possible way to track them down – i.e. they are not registered as unemployed, they cannot be reached by phone/e-mail/letter and they are not in the database of the tax system (which would mean that they found employment).</t>
  </si>
  <si>
    <t xml:space="preserve">Data on exits are compiled by the PES based on their own administrative data. </t>
  </si>
  <si>
    <t xml:space="preserve">In the unknown category positive outcomes can be missed in case the young person relocates and starts an open market  job or takes part in some form of education. </t>
  </si>
  <si>
    <t xml:space="preserve"> Apprenticeships are part of regular education system and are recorded under education.
</t>
  </si>
  <si>
    <t xml:space="preserve">Follow-up data are collected from administrative registers and questionnaires. </t>
  </si>
  <si>
    <t xml:space="preserve">The risk of missing positive outcomes in the unknown category is higher than in the case of exits, as response rate to questionnaires can be low. Positive outcomes can be missed in case of relocating. </t>
  </si>
  <si>
    <t>Ministry of Economic Development, Labour and Technology (PES, Regional PES)
Komenda Główna OHP (VCL)
Bank Gospodarstwa Krajowego (BGK)</t>
  </si>
  <si>
    <t>PES: Anna Pamerska</t>
  </si>
  <si>
    <t>PES: anna.pamerska@mrpit.gov.pl</t>
  </si>
  <si>
    <t>Instituto do Emprego e Formação Profissional</t>
  </si>
  <si>
    <t>Cristina Faro</t>
  </si>
  <si>
    <t>cfaro@iefp.pt</t>
  </si>
  <si>
    <t xml:space="preserve"> - Exits to inactivity include participants refusing offers with no justification (they are also de-registered from the PES).
 - Exits to regular education are recorded under unknown exits unless declared by the participant.
 - People emigrating, employed but exempted from single social security or receiving sickness benefit are counted as exits to unknown destination.</t>
  </si>
  <si>
    <t>PES system for employment (SIGAE) and templates completed by the other partners.
All information is individualize and stored in a database dedicated to the Young Guarantee.</t>
  </si>
  <si>
    <t>The outputs that are not collected and are counted as a unknown exit are:
- exits to regular education (we only identify these exits by young person declaration);
- emigration;
- employment with exemption from single social security;
- employees receiving sickness benefit.</t>
  </si>
  <si>
    <t>Data from PES job search and data from social security on employers' declared pay</t>
  </si>
  <si>
    <t>Data 2020 is comparable with data 2019.
Exits of 2018 and 2019 have been updated.</t>
  </si>
  <si>
    <t>ANOFM</t>
  </si>
  <si>
    <t>Anamaria Mitri</t>
  </si>
  <si>
    <t>anofm@anofm.gov.ro</t>
  </si>
  <si>
    <t>Public Employment Services (PES)</t>
  </si>
  <si>
    <t xml:space="preserve">The Youth Guarantee targets yough aged 16-24.  YG monitoring data covers young people registred as unemployed with the public employment services (PES), aged 16-29 years. </t>
  </si>
  <si>
    <t xml:space="preserve">Data on previous YG experience became available in 2018 (for ref. years 2016 and 2017).
For ref. year 2018 it was not possible to provide breakdowns of subsidised exits by sex and duration of unemployment. </t>
  </si>
  <si>
    <t xml:space="preserve">Not known if persons with previous Yg experience exited to an offer or not. </t>
  </si>
  <si>
    <t xml:space="preserve"> - Exit from the YG coincides with the end of the unemployment spell, thus, exits to unemployment are reported as zero.
 - Exits to inactivity record individuals having work incapacity or persons who have acquired a disability status
 - Breakdowns by sex and age for exits to apprenticeships and subsidised employment are not known. 
 - Exits to subsidised education are not known.  </t>
  </si>
  <si>
    <t xml:space="preserve">The source used to extract the data on exits by destination is PES database. PES database includes people looking for a job as follows: unemployed (entitled or not to receive unemployment benefits) and other categories of people looking for a job, registered in PES database. </t>
  </si>
  <si>
    <t>In the category of "unknown" persons of the "Exits" sheet, there are people for whom the reasons for leaving  the YG scheme are not covered by the ones mentioned in the reporting situation, as follows: in the case of becoming deprived of their liberty, when they leave the country, when their registration period expires and they and do not require to be maintained in PES database as jobseekers, usually in the case of unemployed who are not entitled to unemployment benefit.
We appreciate that  the young people belonging to this category might can return to SPO or might become inactive, but, unfortunately, we do not have any related information in our database.</t>
  </si>
  <si>
    <t xml:space="preserve"> - Follow-up data refer to the situation of all persons that reached at least 6, 12 and 18 months after exit on the date of observation (end of reference year for duration 6 months, end of following year for durations 12 and 18 months). This means that the observation point is variable and will be more than 6, 12 and 18 months for many of those covered.
 - Only situations employment and unemployment are covered.
The follow-up situation of those that exited to traineeships and apprenticeships is unknown.
</t>
  </si>
  <si>
    <t>The data source used for extracting follow-up data is the PES database.</t>
  </si>
  <si>
    <t>In the case of extracting follow-up data, the situation is similar to the one described above in the "Exits" category. We face the same type of risk of young people needing to return to PES services or of not having information about the inactivity situation in which these people might find themselves.
Note that in the case of "follow-up T-6 months",  we cannot provide quantitative data at this time. The data will be available in the beginning of August, after receiving from the ANAF (the National Agency for Fiscal Administration)  the reporting  on the contributions according to the declaration on the obligations to pay the social contributions, the income tax and the nominal record of the insured persons. The deadline for uploading this information to ANAF on contributions is 25th of each month.</t>
  </si>
  <si>
    <t>Follow-up data cover only situations employment and unemployment and thus positive situations are largerly underestimated.</t>
  </si>
  <si>
    <t>Ministry of Economic Affairs and Employment</t>
  </si>
  <si>
    <t>Janne Savolainen</t>
  </si>
  <si>
    <t>janne.savolainen@tem.fi</t>
  </si>
  <si>
    <t xml:space="preserve">Finland has a 3-month target for delivery of offers. 
</t>
  </si>
  <si>
    <t>Data by previous experience not provided.</t>
  </si>
  <si>
    <t>The categories of duration monitored diverge from the specifications of the YG Framework because of 3 months national target used (&lt;4 months corresponds to &lt;3 months, and 4-5 months corresponds to 3-5 months).</t>
  </si>
  <si>
    <t xml:space="preserve"> -  Timely exits correspond to exits within 3 months (national target) instead of 4 months.
 - Apprenticeships organised by the PES cannot be distinguished from regular employment and are recorded accordingly. Participants in normal education system's appreticeships are recorded under education. 
 - Traineeships include participation in counselling/coaching measures that break the unemployment spell.
- Counselling/coaching is regarded as a qualitative offer and participants are recorded as exits to traineeships. However, Counselling/coaching should probably be regarded as part of the preparatory phase.
 - Exits to inactivity include those who moved outside the labour force (e.g. military service, household work, hospital treatment, prison, pension, etc.), moved to unemployment pension and moved abroad (EU or EFTA country).</t>
  </si>
  <si>
    <t>Data on exits by destination is based on Employment offices client register. Only those destinations is known which client have informed to the office.</t>
  </si>
  <si>
    <t>Especially employment as destination can be missing if person have not informed it to the employment office. Person only stops to claim unemployment benefits but doesn't necessarily inform the employment to the office. Risk for not informing the office is relatively high.</t>
  </si>
  <si>
    <t>Follow-up data are not provided. Finland routinely collects follow-up data 3 months after the end of an active measure (i.e. after the end of the YG offer phase). This represents a different observation from follow-up after exit from the YG preparatory phase. Data might be available in the future.</t>
  </si>
  <si>
    <t xml:space="preserve">Counselling/coaching is regarded as a qualitative offer and participants are recorded as exits to traineeships. However, Counselling/coaching should probably be regarded as part of the preparatory phase.
</t>
  </si>
  <si>
    <t>Ministry of Employment</t>
  </si>
  <si>
    <t>Tomas Skytesvall</t>
  </si>
  <si>
    <t>tomas.skytesvall@regeringskansliet.se</t>
  </si>
  <si>
    <t>Young people aged 15-24 registered with the PES as unemployed (i.e. persons starting a claim for full- or part-time unemployment benefits).</t>
  </si>
  <si>
    <t xml:space="preserve"> - Exit from the YG coincides with the end of the unemployment spell thus exits to unemployment are reported as zero.
 - Exits to inactivity refer to those participants that are not able to work or are seeking to work in another EU/EEA country.
- Exits to apprenticeships are zero because a) there are no subsidised apprenticeships (ie. relevant measures were discontinued in 2018) and b) unsubsidised apprenticeships are counted under employment
 - Unsubidised exits to traineeships are counted under unknown exits</t>
  </si>
  <si>
    <t>Data is retrieved from PES data warehouse and the individuals status at certein points in time are retrieved.</t>
  </si>
  <si>
    <t>If their status is registred in the data warehouse there is no problem. But if we can't get in contact to know what has happened we don't have data.</t>
  </si>
  <si>
    <t>See above</t>
  </si>
  <si>
    <t>Danish Agency for Labour Market and Recruitment</t>
  </si>
  <si>
    <t>Astrid Holm</t>
  </si>
  <si>
    <t>ash@star.dk</t>
  </si>
  <si>
    <t>Young people aged 15-29 registered with job centres (PES) organised at municipal level. Data cover both inactive and unemployed NEETs, but only insofar as both groups receive public benefits. Inactive in this regard means that they are not immediately 'available' for the labour market.</t>
  </si>
  <si>
    <t>The Danish YG-data is based on our administrative system 'DREAM'. This system is a week-based database, where we can identify whether a person has received unemployment benefits in a given week (and what kind of benefit). Hence, a person is (only) "defined as unemployed" if that person receives unemployment benefits in a given week. To identify whether a person is employed, we merge our regular administrative database with an 'administrative salary database', where we can identify, on a monthly basis, whether a person has received a salary (and how high the salary is). Hence, a person is "defined as employed" in a given week, if that person does not receive unemployment benefits in that week but receives a salary in the month where the week belongs. At the beginning of 2017 there was a reform of our Unemployment Benefits system. This reform allows for recipients of UB’s to prolong their duration of UB’s from 2 years to 3 years by working, meanwhile receiving UB’s. The reform also introduced a new data-reporting-system to support the reform. The new system means that UB’s are now based on an ‘hour-system’, where payout of UB’s are counted on an hourly basis, as opposed to before the reform where a person would use an entire week of UB’s, regardless of how many hours of UB’s was received. The latter change means that people can spread their initial 2 years of UB’s over a longer period of time. 
As between 25-30 % of the YG stock in 2017 consisted of recipients of UB's, this could potentially have increased the stock a little (meaning a potential small break in the data-series from 2016-2017). But as the general number of people on public benefits and UB's particularly has fallen from year to year (and the number of 15-24 year old UB-recipients is rather low), it is hard to identify the effect of this.
 In addition to this it is worth to point out that there was a break in the time series of the Danish LFS in 2016 and Q1 of 2017, which might have affected the Danish NEET-rate to have increased from 5,8 % to 7 %. This means that the indicator "coverage rate" will fall from around 58 % to 46 % (own calculations), although there hasn't been an actual change in the coverage of the Danish YG.</t>
  </si>
  <si>
    <t xml:space="preserve"> -  Exit coincides with end of a claim for benefits, which is effectively the end of the unemployment spell, so destination unemployment is always zero
 - Exits to apprenticeships provided by the regular education and training system are recorded as exits to education. Apprenticeship offers provided through the YG framework are open only to people aged 25 or over so that exits to apprenticeships in the monitoring data, which cover those aged 15-24 on entry, are limited and refer to people that became 25 after entering the YG. 
 - Exits to traineeships cannot be monitored (under unknown exits)
 -  Inactivity covers the following situations: sickness (sickness benefit), maternity leave (maternity leave benefit), early retirement (for e.g. handicapped), emigration, death.</t>
  </si>
  <si>
    <t xml:space="preserve">Source: The administrative weekly based database "DREAM". An exit is defines as four consecutive weeks of not receiving unemployment benefit. A person is registred as employed if the person during the four weeks are receiving unsupported wage. </t>
  </si>
  <si>
    <t>No specific risk - exits to traineeships cannot be monitored</t>
  </si>
  <si>
    <t>2 weeks</t>
  </si>
  <si>
    <t xml:space="preserve">Young people in an apprenticeship are recorded as being in education when the apprenticeship is paid with an education grant or in employment when the apprenticeship is paid by the workplace.
</t>
  </si>
  <si>
    <t>Department of Social Protection</t>
  </si>
  <si>
    <t>Ailbhe Brioscú
Alternate: Jeff Dwan O'Reilly</t>
  </si>
  <si>
    <t>Ailbhe.Brioscu@welfare.ie
Alternate: Jeff.Dwanoreilly@welfare.ie</t>
  </si>
  <si>
    <t>Unemployment benefit recipients aged 18-24. Data therefore miss NEETs aged under 18 and those aged 18-24 not in receipt of an unemployment benefit.
Note: Recipients of unemployment benefits coincide with the measure of registered unemployment in Ireland.</t>
  </si>
  <si>
    <t>Age is measured on the date of observation (not in accordance with §65 of the methodological manual which requires age on entry). That means age of entry for Entrants, age at exit for Exits, and age at the date of the underlying monthly stock counts for Stocks.
All data are rounded to the nearest 100.
As of ref. year 2018 the breakdown of entrants by previous YG experience is not provided.
Similar to 2019, the Irish data for 2020 has been extracted from a different database than the one used in previous years (2018 and prior). The different data source is based on records of unemployment claims and some supported employment and education schemes and is less comprehensive than the previous source – a longitudinal administrative database that tracks social welfare claims, participation in activation and training measures, and employment histories. Metadata informs that the new data source cannot identify exits to employment, education and training and that the values provided are imputed using 2018-2020 claim closure administrative data and previous returns. 
For the Follow-up T, T-1 and T-2 tables, unfortunately, at this time, given the ongoing reorganisation of the Department's internal data management systems, as well as the continued presence of temporary COVID-19 income related supports, it is not possible to provide updated figures for these tables using the same method as in previous iterations. As such, the figures reported in T-1 and T-2 are the same as those reported in last years return, for the same reference years. For the follow-up T,  we used Live Register claim data 2020-2021 for unemployment follow-up.
When the Department's new data managment sytem has been fully implemented, we plan to revise and update these values, where possible, to reflect the additional information we will have access to in the future.</t>
  </si>
  <si>
    <t>Breakdown of entrants by previous YG experience is not available.</t>
  </si>
  <si>
    <t xml:space="preserve"> - Exit coincides with the end of a claim for unemployment benefits and thus the end of the unemployment spell.
 - Exits to apprenticeships, inactivity cannot be identified (counted under exits to unknown destinations).
 - Exits to unsubsidised education and trainesships cannot be identified (counted under exits to unknown destination)
 - Exits to employment, education and training can only be identified by imputing values.</t>
  </si>
  <si>
    <t xml:space="preserve">Data are extracted from compilation of ISTS weekly extracts – these are records of unemployment claims and some supported employment and education schemes – and verified with reference claim closure data.               </t>
  </si>
  <si>
    <t>Yes, employment data will not become known until after the reference year, so employment data are imputed but the risk exists that those in the unknown category could be employed. Claim closure data may not capture all of the exits to employment.</t>
  </si>
  <si>
    <t>7 days</t>
  </si>
  <si>
    <t>This data could not be fully obtained or inferred other than the totals and the unemployment figures for FU1.</t>
  </si>
  <si>
    <t>This data has not been updated from 2019 since further data could not be fully obtained or inferred. Those in apprenticeships and inactivity are counted under unknown situations.</t>
  </si>
  <si>
    <t>As above</t>
  </si>
  <si>
    <t>Please see general comments in Q5 above.</t>
  </si>
  <si>
    <t>Croatian Employment Service</t>
  </si>
  <si>
    <t>Darko Oračić</t>
  </si>
  <si>
    <t>darko.oracic@hzz.hr</t>
  </si>
  <si>
    <t>Public Employment Service (PES) (CES)</t>
  </si>
  <si>
    <t xml:space="preserve">Actions to earch target population: A NEET tracking project is under way. Some available data have been collected and a report by the Economic Institute Zagreb is published. The exact identification of inactive NEETs is difficult due to technical issues with databases and due to external migration.
Centres have been set up to reach to inactive NEETs, to provide information to interested young people and direct them to the PES.
</t>
  </si>
  <si>
    <t xml:space="preserve"> - Exit from the YG coincides with the end of the unemployment spell thus, exits to unemployment are reported as zero.
- Exits to inactivity are based on reasons for de-registration. Reasons for de-registration include: general disability, temporary disability, custody, prison, military service, birth- or parenting-related reasons, death.
- Exits to apprenticeship are included under exits to education.</t>
  </si>
  <si>
    <t xml:space="preserve">The unemployment register and the social insurance (employment) register.		</t>
  </si>
  <si>
    <t>Exits to regular education are recorded based on participants self-reporting.</t>
  </si>
  <si>
    <t>None. Unemployed persons who are sick for more than 28 days are not deleted from the register (remain as stocks) and no break is recorded.</t>
  </si>
  <si>
    <t xml:space="preserve"> - Inactivity cannot be monitored (recorded under unknown).
 - Apprenticeships are included under education.
 - Traineeships are monitored using the PES database.
 - Participants who took up an education offer are assumed to have remained in education unless they appear in either the employment or unemployment register.
</t>
  </si>
  <si>
    <t>The unemployment register and the social insurance (employment) register.</t>
  </si>
  <si>
    <t>Ministry of Labour and Social Policies</t>
  </si>
  <si>
    <t>Emiliano Rustichelli</t>
  </si>
  <si>
    <t>erustichelli.ext@lavoro.gov.it</t>
  </si>
  <si>
    <t>All YG providers including public and private providers who work in partnership with the PES. Data from regional interventions still not yet available.</t>
  </si>
  <si>
    <t>Young people 16-30 registered in the YG scheme.</t>
  </si>
  <si>
    <t>In continuation of the previous year, re-entries are counted relative to NEETs who:
1) were "Exits" in one of the years 2018 and 2019, and whose exit did not result in removal and subsequent re-enrollment in the YG registry
2) on January 1, 2020 or during the reporting year, returned to NEET status and were still enrolled in the YG program within the same registration cycle that led to the previous successful exit
The re-entry date was made to coincide with the end date of the previous active policy activity or job that had led to their exit.</t>
  </si>
  <si>
    <t>Destination inactive cannot be monitored (recorded under unknown).
Exits to education and self employment not subsidised by YEI cannot be monitored (are recorded under unknown or not recorded as exits)</t>
  </si>
  <si>
    <t>The data source used is the MLPS - Active and Passive Labour Policies database, which links participation in Youth Guarantee (SAP archive) and the employment situation (CO archive) on an individual level.</t>
  </si>
  <si>
    <t>The information that can be retrieved from the CO archive (mandatory employer communication) is binary: Employee vs. Non-employee. This type of information is available at any time since 2009. The binary character of the information does not allow to have information (missing data) on positive exits from the Neet condition, such as:
- Re-entry into Education (not subsidised by YEI)
- Self-employment and other form of job not subjected to Mandatory Communtion (not subsidised by YEI)
As far as the Exits are concerned, the risk of missing positive outcomes could entail to an underestimation of the total exits themselves. That is to say, there may be cases of people entering the youth guarantee scheme and then returning to Education  or starting a self-employed activity without any public subsidy, so that the SAP repository may not record their actual status (Exits)</t>
  </si>
  <si>
    <t>Follow-up data for participants in inactivity, self-employment and in non-subsidised education and training programmes cannot be monitored (recorded under unknown).</t>
  </si>
  <si>
    <t>Same as exits</t>
  </si>
  <si>
    <t>Follow-up data for participants in self-employment and in non-subsidised education and training programmes cannot be monitored (recorded under unknown). The risk of missing positive outcomes is higher than for exits, both in absolute and relative terms, because of the longer time span and the smaller reference population (Exits, total and by destination).</t>
  </si>
  <si>
    <t xml:space="preserve"> - PES (SEA)
- State Education Development Agency (SEDA)</t>
  </si>
  <si>
    <t>Raimonds Bridaks</t>
  </si>
  <si>
    <t>Raimonds.Bridaks@lm.gov.lv</t>
  </si>
  <si>
    <t xml:space="preserve"> - Public Employment Service (PES) (SEA)
- State Education Development Agency (SEDA)</t>
  </si>
  <si>
    <t>Young people 15-29 registered with the PES as unemployed or with SEDA.</t>
  </si>
  <si>
    <t>Potential double-counting of entrants as young people registered with SEDA could also be registered with the PES as unemployed</t>
  </si>
  <si>
    <t>SEDA: Data by previous YG experience not available.
Entry = application for course provided by SEDA (subsidised education).</t>
  </si>
  <si>
    <t xml:space="preserve">SEDA: Participants in SEDA measures do not contribute to the stock as entry = exit = registration with SEDA. </t>
  </si>
  <si>
    <t xml:space="preserve">PES:  
- Entry to the YG coincides with registration as unemployed, then by definition exits to unemployment are not possible.
-  Exits to inactivity, formal education (incl. apprenticeships) and trainneeships cannot be monitored.
SEDA: 
- All exits from SEDA data are to subsidised education. Other destinations are not possible by definition.
General:
- Potential double-counting of exits (see entrants) which may result in overstatement of total exits and unknown destinations, as exits recorded in SEDA data not recorded in PES data.
</t>
  </si>
  <si>
    <t>The State Revenue Database, data are compared in two data sets for the PES participants and poll for SEDA participants</t>
  </si>
  <si>
    <t>PES: The probability of not counting in positive outcomes is very high, especially for exits to education. Exits to formal education (incl. apprenticeships) and traineeships cannot be monitored. Improvements in education database are planned by end 2018.</t>
  </si>
  <si>
    <t xml:space="preserve">Follow-up data are not in accordance with the YG methodological manual: PES provided micro-level data on those, who became employed within first 6 months after entering YG and participants, who became employed six months after finishing participation in a measure. SEDA collects this data from participants (questionnaire). </t>
  </si>
  <si>
    <t>Data cover only PES participants.</t>
  </si>
  <si>
    <t xml:space="preserve">The State Revenue Database - data are compared in two data sets for the PES participants and poll for SEDA participants. Partially also Education database is used to count in data on exits to education. </t>
  </si>
  <si>
    <t xml:space="preserve">Yes, exits to education, exits to employment, which happen not on exact day. </t>
  </si>
  <si>
    <t>Ministry of Social Security and Labour of the Republic of Lithuania</t>
  </si>
  <si>
    <t>Indrė Raubė</t>
  </si>
  <si>
    <t>indre.raube@socmin.lt</t>
  </si>
  <si>
    <t xml:space="preserve">Young people aged 16-29 registered with the Employmet service as unemployed and inactive NEET's (not registered with the PES), aged 15-29, who participated in the project "Let’s Move", implemented by the Department of Youth Affairs (from 2019).
IMPORTANT EXCEPTION: from May, 2020,  persons,  studyin at a higher education institution according to full-time study programs or according to formal vocational training programs at their own expense have a right to register with the Employment service as unemployed and get benefits (including unemployment benefits), but these unemployed are not included in this data, since they cannot participate in YG.
</t>
  </si>
  <si>
    <t xml:space="preserve"> - Refined measurement of exits (28-day rule) introduced in 2015 data.
 - Since 2016 the dataset has been extended to also cover data from Department of Youth Affairs under the Ministry of Social Security and Labour (covering inactive NEETs that participated in the project "Discover Yourself" (ended in 2018) and since 2019, data from the project "Let's move").
 - Treatment of re-entry following participation in an ALMP that does not break the unemployment spell </t>
  </si>
  <si>
    <t>Entrants are understated as re-entrance of participants that exited to masures not breaking the unemployment spell are not counted. Thus, one entrant may have more than one exits.</t>
  </si>
  <si>
    <t xml:space="preserve"> - Since 2015, participants should be at least 28 days in activity in order to count as exit. 
 - Inactivity includes de-registrations from unemployment due to court verdict, death, determined incapacity.
 - Unknown destinations correspond to voluntary de-registrations for which no information is available. It might include transition to education, migration, inactivity. Around a third of unknown destinations are de-registrations for sanctions (e.g. due to refusal of offer, unjustified refusal to participate in measures, and irregular employment).</t>
  </si>
  <si>
    <t>The results are calculated based on the reasons for the loss/ suspension of unemployment status and adjusted according to the date received from the State social insurance fund board (SODRA).</t>
  </si>
  <si>
    <t>Unknown destinations correspond to voluntary de-registrations for which no information is available. It might include transition to education and migration. Around a third of unknown destinations are de-registrations for sanctions (e.g. due to refusal of offer, unjustified refusal to participate in measures, and irregular employment).</t>
  </si>
  <si>
    <t>28 days</t>
  </si>
  <si>
    <t>If there is no data in other registers on work, self-employment, independent activity, learning or training,  the person is considered to be inactive. The inactive – the data are verified with the data from  State Social Insurance Fund Board (SODRA).
Unknown – the data was not verified with SODRA.</t>
  </si>
  <si>
    <t>Data from  State Social Insurance Fund Board (SODRA) is used to verify information</t>
  </si>
  <si>
    <t>A shorter verification period with data from State Social Insurance Fund Board (SODRA) is possible for previous years, e.g. if the job search was terminated for reasons other than employment, the data with SODRA is checked for 1 month only after the termination of job search.</t>
  </si>
  <si>
    <t xml:space="preserve"> from May, 2020,  persons,  studyin at a higher education institution according to full-time study programs or according to formal vocational training programs at their own expense have a right to register with the Employment service as unemployed and get benefits (including unemployment benefits), but these unemployed are not included in this data, since they cannot participate in YG.</t>
  </si>
  <si>
    <t>Agence pour le développement de l'emploi (ADEM)</t>
  </si>
  <si>
    <t>Jean Ries</t>
  </si>
  <si>
    <t xml:space="preserve">jean.ries@adem.etat.lu </t>
  </si>
  <si>
    <t>Public Employment Service (PES) (ADEM)</t>
  </si>
  <si>
    <t>Young people aged 15-24 newly registered as unemployed with ADEM. Persons who re-register with ADEM are not covered.</t>
  </si>
  <si>
    <t>Re-entrants are not recorded (the YG framework expects re-entrants to be counted and treated equally with first-time entrants).</t>
  </si>
  <si>
    <t xml:space="preserve"> - Entry to the YG coincides with registration as unemployed thus all entrants are registered unemployed.
 - Only new entrants are covered (i.e. re-entrants are not covered).
</t>
  </si>
  <si>
    <t xml:space="preserve"> - Stocks data correspond to a one-off observation of the numbers registered in the YG scheme on 31 December and who have not taken up an offer.</t>
  </si>
  <si>
    <t xml:space="preserve"> - Exit from the YG coincides with the end of the unemployment spell thus exits to unemployment are reported as zero.
 - Exits to employment include exits to regular apprenticeships.
 - Exits to inactivity and to regular education are reported as unknown
- Exits to subsidised education cannot be identified.
</t>
  </si>
  <si>
    <t>We use data fom our IT system. For exits to employment we can also rely on data from social security registers</t>
  </si>
  <si>
    <t>As we do not have access to the educational registers, unknown exits include exits to education as well as initrila apprenticeship.</t>
  </si>
  <si>
    <t xml:space="preserve"> - Those in inactivity are reported as unknown.
 - Those in regular apprenticeships are reported as employment.</t>
  </si>
  <si>
    <t>Ministry of Labour, Social Affairs and Family</t>
  </si>
  <si>
    <t>Dominika Garajová</t>
  </si>
  <si>
    <t>dominika.garajova@employment.gov.sk</t>
  </si>
  <si>
    <t>Young people aged 15-29 registered with PES as unemployed.</t>
  </si>
  <si>
    <t>Age does not refer to the age of a young person on entry to the YG service (registration), but is measured on the date of observation for all variables.
There are no measures implemented by IA in reference year 2020 as well.</t>
  </si>
  <si>
    <t xml:space="preserve"> - Exit from the YG coincides with the ending of the unemployment spell so exits to unemployment are zero.
 - Exits to inactivity include: imprisonment, remand custody, maternity leave, depart to an EU Member State or a third country for over 15 calendar days (except in the case of treatment in a third country), request for de-registration for care of children under 10 year or verified personal care for a closely-related person dependent on full-time personal care, request for de-registration and no cooperation with the PES.
 - Exits to unemployment for the 25-29 age group correspond to participants reaching the age limit (29 years old), which are deregistered as YG participants, remain registered with the PES.</t>
  </si>
  <si>
    <t>The sources are database of PES (Employment Services Information System) and database of Social Agency.</t>
  </si>
  <si>
    <t>There is a risk of missing positive outcomes. 
Particularly, exits to inactivity - depart to an EU Member State or a third country for over 15 calendar days. From available sources, we cannot assess whether it is a positive outcome (e.g. leaving for work) or not. For that reason these exits are counted as unknown.</t>
  </si>
  <si>
    <t>All situations except inactivity are monitored after linking database of PES and social security agency.</t>
  </si>
  <si>
    <t>There is a risk of missing positive outcomes. 
Particularly, exits to inactivity - depart to an EU Member State or a third country for over 15 calendar days. From available sources, we cannot assess whether it is a positive outcome (e.g. leaving for work) or not. For that reason we cannot evaluate the situation 6, 12, 18 months afer took up the offer.</t>
  </si>
  <si>
    <t>National Service for Employment (SEPE-INEM)</t>
  </si>
  <si>
    <t>DAVID IÑIGO BELLIDO TRULLENQUE</t>
  </si>
  <si>
    <t>garantiajuvenil@sepe.es</t>
  </si>
  <si>
    <t>All YG Providers: National PES and intermediary organisations such as ministries, regional PES and other public services.</t>
  </si>
  <si>
    <t>Young people aged 16-30 registered in the YG scheme</t>
  </si>
  <si>
    <t xml:space="preserve"> - Negative exits are not possible by definition, participants remain registered in the YG indefinitely. After participating in an offer, they are automatically re-registered.  The only exception are participants turning 30 years old (+4 months), they are de-registered from the system through a manual procedure, but this has not been implemented yet. Data for 2021 onwards will include negative exits for the 25-29 group corresponding to such cases.
- In 2014 data some activities that are part of preparatory phase were counted as offers (exits).
 - Age limit raised to under 30 in 2015 (previously, YG was only available to people 25-29 if they had more than 33% of disability).
- Data for reference year 2016 includes 34,537 participants that have been retrospectively registered, causing a sudden increase of flows (entrants) and stocks.
 - Voluntary de-registrations counted as exits (unknown destination) only in 2016 and 2017 (unlikely to create comparability issues due to small number, &lt;1% of exits). They will be provided again in 2021 data onwards.
 - Exits to unsubsidised employment offers recorded only from 2016. Previously, the number would have been insignificant due to automatic subsidies (reduced social contributions) for employers hiring young people, which finished mid-June 2016.
 - Data for 2018 are not fully comparable with earlier years due to increased coverage of providers of YG offers which mean that more offers are recorded, stocks reduced and flows both in and out of the YG significantly increased.
Revised data for earlier years (at least 2017) will be provided in future.
</t>
  </si>
  <si>
    <t xml:space="preserve">In general, all re-entrants will be recorded as having previously taken-up an offer because an exit normally occurs only on take up an offer. </t>
  </si>
  <si>
    <t xml:space="preserve">Stocks may be overstated as it is possible to register to the YG retrospectively (e.g. while participating in a measure). </t>
  </si>
  <si>
    <t>Exits to negative destinations (unemployment or inactivity) are not possible with the excption of participants turning 30 years old (to be applied 2021 data onwards). Young people stay registered regardless of their availability or not for taking-up an offer. 
Voluntary de-registrations (negligible, &lt;1% of exits) are recorded as exits to unknown destinations. Unknown exits correspond only to these voluntary de-registrations.
Exits to non-subsidised offers are only monitored for employment offers.</t>
  </si>
  <si>
    <t>Sources: National PES information, intermediate organisations, beneficiaries…</t>
  </si>
  <si>
    <t>Exits to non-subsidised offers only monitored for employment offers.</t>
  </si>
  <si>
    <t>Sources: Information provides by YG partners and Social Security General Treasury.</t>
  </si>
  <si>
    <t xml:space="preserve">Follow-up data cover employment, unemployment and inactivity , from accesing public employment information about jobseekers and inactivity. The positive situations of education, apprenticeship and traineeship are recorded only when they refer to the exit destination (i.e participants are still in the offer they exited to). </t>
  </si>
  <si>
    <t>Jobsplus</t>
  </si>
  <si>
    <t>Mr.Felix Borg</t>
  </si>
  <si>
    <t>felix.l.borg@gov.mt</t>
  </si>
  <si>
    <t>Ministry for Education and Employment, Jobsplus</t>
  </si>
  <si>
    <t>Young people aged 15-29 entering one of the three programmes offered as part of the YG scheme during 2020: NEET Activation Scheme (Phase 1 and Phase 2-WES) and SEC revision classes. Due to unforeseeable circumstances, the ICT Summer courses did not take place during 2020. Such classes are planned to commence during 2021 and will thus be reported in next year’s data collection exercise. Re phase 2 of the NEETs activation scheme (inncluded for the first time in the data), in 2020 only participants with a postivie exit (A2E scheme) are counted. Approach will be amended next year.</t>
  </si>
  <si>
    <t>Historical data comparable but the following should be taken into account: 
- The YG started being implemented in July 2014. Thus, 2014 data cover July-December 2014
- Different coverage: 2014 data include some non-NEETs benefitting from preventative actions.
- Destination inactivity in 2014 was recorded as unknown from 2015.
- Destination apprenticeships started being monitored from 2018.
- Employment offers have also started being recorded by means of the A2E scheme. Thus, participants can be recorded as in employment both through self-initiative offers as well as through the provision of  actual employment offers.</t>
  </si>
  <si>
    <t xml:space="preserve"> -Exits to inactivity cannot be monitored (recorded as unknown)
 -Apprenticeships are provided through MCAST, which is Malta's leading vocational and education and training institution. Youth Guarantee participants are encouraged to pursue their educational route, including through courses offered which have an apprenticeship dimension. Nonetheless, at this stage there are no apprenticeships which are specifically catered for Youth Guarantee participants. Those found to be in Apprenticeship  at exit or follow-up stages are monitored and recorded accordingly.
 -Exits to 2 private educational institutions cannot be monitored since the list of enrolled students was not provided by these institutions. Such destinations are recorded as unknown.</t>
  </si>
  <si>
    <t>PES Register (employed, registering unemployed, in traineeships)
List provided by education institutions of students enrolled in education and in apprenticeships (public and private)</t>
  </si>
  <si>
    <t xml:space="preserve"> -Exits to 2 private educational institutions cannot be monitored since the list of enrolled students was not provided by these institutions. Such destinations are recorded as unknown.</t>
  </si>
  <si>
    <t>Situation inactivity cannot be monitored (recorded as unknown)</t>
  </si>
  <si>
    <t>Exits and follow up situations of YG participants who are enrolled in 2 private education institutions are not recorded. If not found in any other situation, such YG participants are marked as in unknown statuses. 
-The state's offers of apprenticeships are now being monitored and thus exits and follow-up situations of YG participants who are participating in an Apprenticeship, have started to be monitored. The observation period for such a change is from late 2018 onwards. This marked a change in how MT collated the data whereby we tried to address the limitation of not capturing apprenticeships. Previously such individuals were considered as participants in education because such individuals are enrolled in an educational institution where they are offered an apprenticeship.</t>
  </si>
  <si>
    <t>Exits to subsidised employment are provided (A2E scheme)</t>
  </si>
  <si>
    <t xml:space="preserve"> - Social security agency (UWV)
- Municipalities</t>
  </si>
  <si>
    <t>Young people aged 15-24 registered with the social security agency (UWV) or municipalities for (respectively) an unemployment benefit (WW) or social assistance benefit (WWB). The Dutch YG monitor targets individuals who were actually unable to find work, and are more likely to be relatively difficult to place, especially those without (recent) work experience.</t>
  </si>
  <si>
    <t>Breakdown by age not provided. However, the number of persons aged 15-19 is known to be small (&lt;10%).
Age is not measured in accordance to the methodological manual (at entry) - instead age is measured at different times in the year.</t>
  </si>
  <si>
    <t>Yearly stock data are based on average of two year-end figures and not of monthly data as recommended in the methodological manual. 
Stock with &lt;4 months duration is estimated as three quarters of the average stock with duration &lt;6 months</t>
  </si>
  <si>
    <t>Exits within 4 months are estimated as three quarters of exits within 6 months.</t>
  </si>
  <si>
    <t>The number of exits by destination is compiled on the basis of monthly data on the situation at the end of the month following the month of exit. When a person leaves the WW for instance on 15 July, July is the month of exit, because at the end of this month there is no record of that person in the WW anymore. When this person at the end of August for instance has a job as employee (self-employment is not observed), the destination is ‘Employment’.</t>
  </si>
  <si>
    <t>There is no risk of missing positive outcomes in the unknown category because all destinations are known (in other words, the unknown category is empty).</t>
  </si>
  <si>
    <t>There are no current plans to collect this data.</t>
  </si>
  <si>
    <t>NA</t>
  </si>
  <si>
    <t>The data for 2020 is comparable with earlier years.</t>
  </si>
  <si>
    <t>Public Employment Service of Slovenia</t>
  </si>
  <si>
    <t>Barbara Gogala</t>
  </si>
  <si>
    <t>barbara.gogala@ess.gov.si</t>
  </si>
  <si>
    <t>Public Employment Service of Slovenia (and its external contractors)</t>
  </si>
  <si>
    <t>In 2020 the sources for data are the same as in 2019 and cover all exits and follow up.</t>
  </si>
  <si>
    <t xml:space="preserve"> - Apprenticeships are available only to students (i.e. people moving directly from education/training and not those already NEET) so no exits to apprenticeships are possible.
 - An exeption within PES training programmes that is counted as exit to education  has minimum duration of 1 day. However, cases of such short duration are a minority and on average the duration is much higher (in 2020 it was 100 days).
 - Exit from the YG coincides with end of the unemployment spell so destination unemployment is always zero.
 - Exit to inactivity refers to deregistered due to sanction, incarceration longer than 6 month, death, voluntary military service, maternity/parental leave, retirement (disability) and others temporarily not available for work (e.g. long-term illness).
</t>
  </si>
  <si>
    <t>Cross-reference of data in public registers: PES (data on unemployment),  Health Insurance Institute of Slovenia (employment), Ministry of education (database of participants in all levels of education)</t>
  </si>
  <si>
    <t xml:space="preserve">Employment, unemployment and education covered. </t>
  </si>
  <si>
    <t>same as T</t>
  </si>
  <si>
    <t xml:space="preserve">The same sources and methods were used as for compiling data on exits by destination. </t>
  </si>
  <si>
    <t>The same as for exits - cross-reference of data in public registers: PES (data on unemployment),  Health Insurance Institute of Slovenia (employment), Ministry of education (database of participants in all levels of education)</t>
  </si>
  <si>
    <t>Interruptions of YG scheme (in Slovenia it equals to interuption of unemployment spell or, in other words, deregistration from unemployment register) are recorded in following cases: temporary or permanent inability to work, entering rehabilitation scheme, maternity leave, entering military service. The above-mentioned exits were recorded as deregistration from unemployment register and interuption of YG scheme. The only exception are unemployed, who were excused from active job search activities (longer than 28 days) due to sickness. These unemployed remain in the register of unemployed (not counted as an interruption of unemployment spell) and they also remain in the YG stock. Unfortunately, in this cases we are not able to comply with the 28-day rule due to technical issues (PES application restrictions), but since those cases are rare, our estimation is that this issue does not have a statistically significant impact on YG indicators.</t>
  </si>
  <si>
    <t>Data in 2020 are comparable to data of the previous years</t>
  </si>
  <si>
    <t>Abbr</t>
  </si>
  <si>
    <t>Czechia</t>
  </si>
  <si>
    <t>25-29</t>
  </si>
  <si>
    <t>Total aged 15-29</t>
  </si>
  <si>
    <t>Number of young people exiting the YG service with a positive known outcome within 4 months / 
total exits from the YG service (%)</t>
  </si>
  <si>
    <t>Average annual stock of young people still in the YG preparatory phase 4 [6, 12] months after the date of registration / 
Average annual stock of young people in the YG preparatory phase (%)</t>
  </si>
  <si>
    <t xml:space="preserve">Number of young people who 6, 12, 18 months after exiting the YG preparatory phase are in a positive (employment, apprenticeship, traineeship, education), negative (unemployed or inactive) or unknown  (all other) status / 
total number of YG exits having reached the relevant observation point. </t>
  </si>
  <si>
    <t>Number of young people who 6, 12, 18 months after exiting the YG preparatory phase with a YG offer of employment have a positive (employment, apprenticeship, traineeship, education), negative (unemployed or inactive) or unknown (all other) status / 
total number of young people who exited the YG preparatory phase with a YG offer of employment and have reached the relevant observation point.</t>
  </si>
  <si>
    <t>Number of young people who 6, 12, 18 months after exiting the YG preparatory phase with a YG offer of continued education have a positive (employment, apprenticeship, traineeship, education), negative (unemployed or inactive) or unknown (all other) status / 
young people who exited the YG preparatory phase with a YG offer of continued education and have reached the relevant observation point.</t>
  </si>
  <si>
    <t>Number of young people who 6, 12, 18 months after exiting the YG preparatory phase with a YG offer of an apprenticeship have a positive (employment, apprenticeship, traineeship, education), negative (unemployed or inactive) or unknown (all other) status / 
young people who exited the YG preparatory phase with a YG offer of apprenticeship and have reached the relevant observation point.</t>
  </si>
  <si>
    <t>Number of young people who 6, 12, 18 months after exiting the YG preparatory phase with a YG offer of a traineeship have a positive (employment, apprenticeship, traineeship, education), negative (unemployed or inactive) or unknown (all other) status / 
young people who exited the YG preparatory phase with a YG offer of traineeship and have reached the relevant observation point.</t>
  </si>
  <si>
    <r>
      <t xml:space="preserve"> - been assessed as eligible for support (i.e. is aged under 29 and NEET); </t>
    </r>
    <r>
      <rPr>
        <u/>
        <sz val="11"/>
        <color theme="1"/>
        <rFont val="Calibri"/>
        <family val="2"/>
        <scheme val="minor"/>
      </rPr>
      <t>and</t>
    </r>
  </si>
  <si>
    <r>
      <t xml:space="preserve"> -</t>
    </r>
    <r>
      <rPr>
        <sz val="7"/>
        <color theme="1"/>
        <rFont val="Times New Roman"/>
        <family val="1"/>
      </rPr>
      <t> </t>
    </r>
    <r>
      <rPr>
        <sz val="11"/>
        <color theme="1"/>
        <rFont val="Calibri"/>
        <family val="2"/>
        <scheme val="minor"/>
      </rPr>
      <t>Total (aged 15-29)</t>
    </r>
  </si>
  <si>
    <t xml:space="preserve"> - 25-29</t>
  </si>
  <si>
    <t xml:space="preserve">  - 20-24</t>
  </si>
  <si>
    <t xml:space="preserve">OAED: 
 - Re-registrations are calculated as separate entrants. However, people that start training that doesn't result to de-registration, despite being calculated es exits, they are not calculated as re-entrants when the training ends.
 - "Did not take up an offer" means that previous exit destination is either negative or unknown. 
-"Took up an offer" means that previous exit destination was positive.
 - Previous experience data for age cohort 25-29 are available only for persons that have been recorded before as entrants (and exits), from 2014 forward, as in age cohort 15-24, or in the age cohort 25-29 from 2019 forward. All the rest have been stated as with no previous experience ("None")
EPAS:
Entry occurs when submitting the appllication for the apprenticeship which is recorded into the separate EPAS registry (PLATONAS). Applications were submitted from 10/7/20 until 27/9/20. Lessons started on 28th September 2020. 
Those whose applications were not accepted or who withdrew them were not regarded as entrants. 
Breakdown by previous YG experience is not available.
</t>
  </si>
  <si>
    <t>OAED:
- Stock data may include participants that at the same time participate in training in case that the training is not reported to the PES (persons not included in exits).  Participants in traineeships reported to the PES, are included in exits (regardless of whether they they remain registered or not) and are not included in stocks.
EPAS:
Stock figures were calculated exactly as described in the Methodological Manual. (monthly stocks calculated on the 27th day of each month, so as all applicants to be included in September's stocks)</t>
  </si>
  <si>
    <t>"- Exit to unemployment is not possible as exits refer to deregistration from PES registry or start up of training (when reported to the PES). HOWEVER, this year, registered unemployed that exited the registry due to becoming beneficiaries of the "Special Purpose compensation for those who worked in Tourism Sectors"  (following COVID-19 Measures/legislation) have been included to this category, in order to stand out. 
 - Exits to education are undestated, as they are recorded only when announced to the PES.
-Exits to apprenticeship (outside the EPAS framework) are recorded as exits to unknown destination.
 - Exits to traineeship not reported to the PES are not included. Thus, exits to training are underestimated. If the training is reported, they are included in exits to trainingship and thus not included in stocks after that. Also, they are not recorded as reentrants when the training ends, consequently, neither do they contribute to stocks after that. If the training is not reported, they continue to contribute to stocks until deregistration (in some cases simply due to no renewal of the unemployment card, therefore as unknown destinations)
 - Exits to self employment are understated due to not reporting it to the PES. Many young people starting up new businesses simply do not renew their unemployment card, thus are included in exits to unknown destination.
 - Exits to inactivity include deregistrations due to unavailabity for work (temporarily or permanently according to legislation) such as Army enlistement, Maternity, Illness, Imprisonement, Travelling abroad for more than 20 days a year.
 - Unknown destination refers to deregistrations due to no renewal or no particular reasons recorded. 
EPAS:
Exits occur on 28/9/21 (the Program’s starting date). Thus, all exits occur mithin 4 months from entry.</t>
  </si>
  <si>
    <t>Aliki Anitsi, Stelios Vernadakis</t>
  </si>
  <si>
    <t>anitsi@oaed.gr, svernadakis@oaed.gr</t>
  </si>
  <si>
    <t xml:space="preserve"> - Young people aged 15-29 registered with the PES as unemployed 
 - Young people aged 15-24 registered in the PES apprenticeship programme</t>
  </si>
  <si>
    <t xml:space="preserve"> - As of November 2018, the Greek YG was expanded to also cover young people aged under 25 to 29. Accordingly, data for the 25-29 age-group were provided in 2019 for the first time.  Data refer only to participants entering the YG in 2019 (i.e. carry-over stocks were not included).
 - There is no overlap between the two datasets (i.e. participants are not double counted).
 - Up to reference year 2019, EPAS stock figures were estimated.
 - In 2020, due to COVID-19 restrictions on-the-job training at EPAS Apprenticeship Schools was suspended from November 2020 to May 2021. </t>
  </si>
  <si>
    <t>Apprent. / Pripravnisto</t>
  </si>
  <si>
    <t>Trainee. / Obuka</t>
  </si>
  <si>
    <t>Total od ukupnih koji su izasli</t>
  </si>
  <si>
    <t>Empl.  / Zaposleni</t>
  </si>
  <si>
    <t>Educ. / U obrazovanju</t>
  </si>
  <si>
    <t>FU4: Situation of young people 6, 12 and 18 months after exiting the YG preparatory phase with an offer of an apprenticeship / situacija nakon 6/12 sa izlaskom - strucno osposobljavanje (samo 1 nije) -Provjeriti da nije neko prekinuo</t>
  </si>
  <si>
    <t>Unempl. Nezaposleni (14,21,23,91,102,102)</t>
  </si>
  <si>
    <t>Inact. Neaktivni (11,12,15,162,1671)</t>
  </si>
  <si>
    <t xml:space="preserve">Not applicable </t>
  </si>
  <si>
    <t>FU1: Situation of young people 6, 12 and 18 months after exiting the YG preparatory phase / Situacija sa ljudima 6 mjeseci nakon izlaska ( zadnji izlazak 15.12.2026.)</t>
  </si>
  <si>
    <t>FU2: Situation of young people 6, 12 and 18 months after exiting the YG preparatory phase with an offer of employment / Situacija nakon 6/12 mjeseci nakon izlaska sa zaposljenjem na  15.12.2026.</t>
  </si>
  <si>
    <t>FU3: Situation of young people 6, 12 and 18 months after exiting the YG preparatory phase with an offer of continued education / Situacija nakon 6/12 mjeseci osobe koja je izasla zbog obrazovanja na 15.12.2026.</t>
  </si>
  <si>
    <t>FU5: Situation of young people 6, 12 and 18 months after exiting the YG preparatory phase with an offer of a traineeship / Situacija sa osobom 6/12 mjeseci nakon zapocete obuke  zadnji pocetak 15.12.2026. / kratke obuke</t>
  </si>
  <si>
    <t>Not applicable 164, 1664, aktivni u ENL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</si>
</sst>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_);_(* \(#,##0\);_(* &quot;-&quot;_);_(@_)"/>
    <numFmt numFmtId="165" formatCode="_(* #,##0.00_);_(* \(#,##0.00\);_(* &quot;-&quot;??_);_(@_)"/>
    <numFmt numFmtId="166" formatCode="_-* #,##0_-;\-* #,##0_-;_-* &quot;-&quot;??_-;_-@_-"/>
    <numFmt numFmtId="167" formatCode="0.0%"/>
    <numFmt numFmtId="168" formatCode=";;;"/>
  </numFmts>
  <fonts count="36" x14ac:knownFonts="1">
    <font>
      <sz val="11"/>
      <color theme="1"/>
      <name val="Calibri"/>
      <family val="2"/>
      <scheme val="minor"/>
    </font>
    <font>
      <sz val="11"/>
      <color theme="1"/>
      <name val="Calibri"/>
      <family val="2"/>
      <scheme val="minor"/>
    </font>
    <font>
      <b/>
      <sz val="11"/>
      <color theme="3"/>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1"/>
      <color theme="4" tint="-0.249977111117893"/>
      <name val="Calibri"/>
      <family val="2"/>
      <scheme val="minor"/>
    </font>
    <font>
      <b/>
      <sz val="14"/>
      <color theme="1"/>
      <name val="Calibri"/>
      <family val="2"/>
      <scheme val="minor"/>
    </font>
    <font>
      <b/>
      <sz val="11"/>
      <color theme="4" tint="0.79998168889431442"/>
      <name val="Calibri"/>
      <family val="2"/>
      <scheme val="minor"/>
    </font>
    <font>
      <b/>
      <u/>
      <sz val="11"/>
      <color theme="1"/>
      <name val="Calibri"/>
      <family val="2"/>
      <scheme val="minor"/>
    </font>
    <font>
      <u/>
      <sz val="11"/>
      <color theme="1"/>
      <name val="Calibri"/>
      <family val="2"/>
      <scheme val="minor"/>
    </font>
    <font>
      <sz val="11"/>
      <color theme="5"/>
      <name val="Calibri"/>
      <family val="2"/>
      <charset val="238"/>
      <scheme val="minor"/>
    </font>
    <font>
      <b/>
      <sz val="11"/>
      <color theme="0"/>
      <name val="Calibri"/>
      <family val="2"/>
    </font>
    <font>
      <sz val="11"/>
      <color theme="5" tint="-0.249977111117893"/>
      <name val="Calibri"/>
      <family val="2"/>
      <scheme val="minor"/>
    </font>
    <font>
      <b/>
      <sz val="14"/>
      <color theme="1"/>
      <name val="Calibri"/>
      <family val="2"/>
    </font>
    <font>
      <b/>
      <sz val="12.75"/>
      <color theme="1"/>
      <name val="Calibri"/>
      <family val="2"/>
    </font>
    <font>
      <b/>
      <sz val="10"/>
      <color theme="0"/>
      <name val="Calibri"/>
      <family val="2"/>
    </font>
    <font>
      <b/>
      <u/>
      <sz val="11"/>
      <color theme="1"/>
      <name val="Calibri"/>
      <family val="2"/>
    </font>
    <font>
      <sz val="11"/>
      <color theme="1"/>
      <name val="Calibri"/>
      <family val="2"/>
    </font>
    <font>
      <b/>
      <sz val="11"/>
      <color theme="1"/>
      <name val="Calibri"/>
      <family val="2"/>
    </font>
    <font>
      <sz val="11"/>
      <color theme="1"/>
      <name val="Arial"/>
      <family val="2"/>
    </font>
    <font>
      <sz val="7"/>
      <color theme="1"/>
      <name val="Times New Roman"/>
      <family val="1"/>
    </font>
    <font>
      <sz val="11"/>
      <color rgb="FF9C0006"/>
      <name val="Calibri"/>
      <family val="2"/>
      <scheme val="minor"/>
    </font>
    <font>
      <b/>
      <sz val="12"/>
      <color theme="1"/>
      <name val="Calibri"/>
      <family val="2"/>
      <scheme val="minor"/>
    </font>
    <font>
      <b/>
      <sz val="11"/>
      <color rgb="FFFF0000"/>
      <name val="Calibri"/>
      <family val="2"/>
      <scheme val="minor"/>
    </font>
    <font>
      <sz val="11"/>
      <color theme="8" tint="-0.499984740745262"/>
      <name val="Calibri"/>
      <family val="2"/>
      <scheme val="minor"/>
    </font>
    <font>
      <b/>
      <sz val="11"/>
      <color theme="8" tint="-0.499984740745262"/>
      <name val="Calibri"/>
      <family val="2"/>
      <scheme val="minor"/>
    </font>
    <font>
      <b/>
      <sz val="14"/>
      <color theme="8" tint="-0.499984740745262"/>
      <name val="Calibri"/>
      <family val="2"/>
      <scheme val="minor"/>
    </font>
    <font>
      <sz val="14"/>
      <color theme="8" tint="-0.499984740745262"/>
      <name val="Calibri"/>
      <family val="2"/>
      <scheme val="minor"/>
    </font>
    <font>
      <b/>
      <sz val="14"/>
      <color rgb="FF9C0006"/>
      <name val="Calibri"/>
      <family val="2"/>
      <scheme val="minor"/>
    </font>
    <font>
      <sz val="14"/>
      <color theme="1"/>
      <name val="Calibri"/>
      <family val="2"/>
      <scheme val="minor"/>
    </font>
    <font>
      <b/>
      <sz val="14"/>
      <color rgb="FFFF0000"/>
      <name val="Calibri"/>
      <family val="2"/>
    </font>
    <font>
      <u/>
      <sz val="11"/>
      <color theme="10"/>
      <name val="Calibri"/>
      <family val="2"/>
      <scheme val="minor"/>
    </font>
    <font>
      <b/>
      <sz val="11"/>
      <color rgb="FF9C0006"/>
      <name val="Calibri"/>
      <family val="2"/>
      <scheme val="minor"/>
    </font>
    <font>
      <u/>
      <sz val="11"/>
      <color theme="5" tint="-0.249977111117893"/>
      <name val="Calibri"/>
      <family val="2"/>
      <scheme val="minor"/>
    </font>
  </fonts>
  <fills count="19">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8" tint="0.39997558519241921"/>
        <bgColor indexed="65"/>
      </patternFill>
    </fill>
    <fill>
      <patternFill patternType="solid">
        <fgColor theme="4" tint="0.79998168889431442"/>
        <bgColor indexed="64"/>
      </patternFill>
    </fill>
    <fill>
      <patternFill patternType="solid">
        <fgColor rgb="FFFFC000"/>
        <bgColor indexed="64"/>
      </patternFill>
    </fill>
    <fill>
      <patternFill patternType="solid">
        <fgColor theme="8" tint="0.59999389629810485"/>
        <bgColor indexed="64"/>
      </patternFill>
    </fill>
    <fill>
      <patternFill patternType="solid">
        <fgColor theme="4"/>
        <bgColor indexed="64"/>
      </patternFill>
    </fill>
    <fill>
      <patternFill patternType="solid">
        <fgColor theme="2" tint="-9.9978637043366805E-2"/>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rgb="FFFFC7CE"/>
      </patternFill>
    </fill>
    <fill>
      <patternFill patternType="solid">
        <fgColor theme="8" tint="0.79998168889431442"/>
        <bgColor indexed="64"/>
      </patternFill>
    </fill>
    <fill>
      <patternFill patternType="solid">
        <fgColor theme="0" tint="-4.9989318521683403E-2"/>
        <bgColor indexed="64"/>
      </patternFill>
    </fill>
    <fill>
      <patternFill patternType="solid">
        <fgColor rgb="FFDAEEF3"/>
        <bgColor indexed="64"/>
      </patternFill>
    </fill>
    <fill>
      <patternFill patternType="solid">
        <fgColor theme="0"/>
        <bgColor indexed="64"/>
      </patternFill>
    </fill>
    <fill>
      <patternFill patternType="solid">
        <fgColor rgb="FFFFFF00"/>
        <bgColor indexed="64"/>
      </patternFill>
    </fill>
    <fill>
      <patternFill patternType="solid">
        <fgColor theme="5" tint="0.59999389629810485"/>
        <bgColor indexed="64"/>
      </patternFill>
    </fill>
  </fills>
  <borders count="86">
    <border>
      <left/>
      <right/>
      <top/>
      <bottom/>
      <diagonal/>
    </border>
    <border>
      <left style="thick">
        <color theme="4"/>
      </left>
      <right/>
      <top style="thick">
        <color theme="4"/>
      </top>
      <bottom/>
      <diagonal/>
    </border>
    <border>
      <left/>
      <right/>
      <top style="thick">
        <color theme="4"/>
      </top>
      <bottom/>
      <diagonal/>
    </border>
    <border>
      <left/>
      <right style="thick">
        <color theme="4"/>
      </right>
      <top style="thick">
        <color theme="4"/>
      </top>
      <bottom/>
      <diagonal/>
    </border>
    <border>
      <left style="thick">
        <color theme="4"/>
      </left>
      <right/>
      <top/>
      <bottom/>
      <diagonal/>
    </border>
    <border>
      <left/>
      <right style="thick">
        <color theme="4"/>
      </right>
      <top/>
      <bottom/>
      <diagonal/>
    </border>
    <border>
      <left style="thick">
        <color theme="4"/>
      </left>
      <right/>
      <top/>
      <bottom style="thick">
        <color theme="4"/>
      </bottom>
      <diagonal/>
    </border>
    <border>
      <left/>
      <right style="thick">
        <color theme="4"/>
      </right>
      <top/>
      <bottom style="thick">
        <color theme="4"/>
      </bottom>
      <diagonal/>
    </border>
    <border>
      <left/>
      <right style="thick">
        <color theme="0"/>
      </right>
      <top style="thick">
        <color theme="4"/>
      </top>
      <bottom/>
      <diagonal/>
    </border>
    <border>
      <left/>
      <right style="thick">
        <color theme="0"/>
      </right>
      <top/>
      <bottom/>
      <diagonal/>
    </border>
    <border>
      <left/>
      <right style="thick">
        <color theme="0"/>
      </right>
      <top/>
      <bottom style="thick">
        <color theme="4"/>
      </bottom>
      <diagonal/>
    </border>
    <border>
      <left style="thick">
        <color theme="0"/>
      </left>
      <right/>
      <top style="thick">
        <color theme="4"/>
      </top>
      <bottom/>
      <diagonal/>
    </border>
    <border>
      <left/>
      <right style="thin">
        <color theme="0"/>
      </right>
      <top style="thin">
        <color theme="0"/>
      </top>
      <bottom/>
      <diagonal/>
    </border>
    <border>
      <left style="thin">
        <color theme="0"/>
      </left>
      <right style="thin">
        <color theme="0"/>
      </right>
      <top style="thin">
        <color theme="0"/>
      </top>
      <bottom/>
      <diagonal/>
    </border>
    <border>
      <left style="thick">
        <color theme="0"/>
      </left>
      <right style="thin">
        <color theme="0"/>
      </right>
      <top/>
      <bottom style="thin">
        <color theme="0"/>
      </bottom>
      <diagonal/>
    </border>
    <border>
      <left style="thick">
        <color theme="0"/>
      </left>
      <right style="thin">
        <color theme="0"/>
      </right>
      <top style="thin">
        <color theme="0"/>
      </top>
      <bottom/>
      <diagonal/>
    </border>
    <border>
      <left style="thin">
        <color theme="0"/>
      </left>
      <right style="thick">
        <color theme="0"/>
      </right>
      <top style="thin">
        <color theme="0"/>
      </top>
      <bottom/>
      <diagonal/>
    </border>
    <border>
      <left style="thick">
        <color theme="0"/>
      </left>
      <right style="thin">
        <color theme="0"/>
      </right>
      <top style="thick">
        <color theme="4"/>
      </top>
      <bottom style="thin">
        <color theme="0"/>
      </bottom>
      <diagonal/>
    </border>
    <border>
      <left style="thin">
        <color theme="0"/>
      </left>
      <right style="thin">
        <color theme="0"/>
      </right>
      <top style="thick">
        <color theme="4"/>
      </top>
      <bottom style="thin">
        <color theme="0"/>
      </bottom>
      <diagonal/>
    </border>
    <border>
      <left style="thin">
        <color theme="0"/>
      </left>
      <right style="thick">
        <color theme="4"/>
      </right>
      <top style="thick">
        <color theme="4"/>
      </top>
      <bottom style="thin">
        <color theme="0"/>
      </bottom>
      <diagonal/>
    </border>
    <border>
      <left style="thin">
        <color theme="0"/>
      </left>
      <right style="thick">
        <color theme="4"/>
      </right>
      <top style="thin">
        <color theme="0"/>
      </top>
      <bottom/>
      <diagonal/>
    </border>
    <border>
      <left/>
      <right style="thin">
        <color theme="0"/>
      </right>
      <top style="thick">
        <color theme="4"/>
      </top>
      <bottom style="thin">
        <color theme="0"/>
      </bottom>
      <diagonal/>
    </border>
    <border>
      <left style="thick">
        <color theme="0"/>
      </left>
      <right style="thin">
        <color theme="4"/>
      </right>
      <top/>
      <bottom/>
      <diagonal/>
    </border>
    <border>
      <left style="thin">
        <color theme="4"/>
      </left>
      <right style="thin">
        <color theme="4"/>
      </right>
      <top/>
      <bottom/>
      <diagonal/>
    </border>
    <border>
      <left style="thin">
        <color theme="4"/>
      </left>
      <right style="thick">
        <color theme="4"/>
      </right>
      <top/>
      <bottom/>
      <diagonal/>
    </border>
    <border>
      <left style="thick">
        <color theme="0"/>
      </left>
      <right style="thin">
        <color theme="4"/>
      </right>
      <top/>
      <bottom style="thick">
        <color theme="4"/>
      </bottom>
      <diagonal/>
    </border>
    <border>
      <left style="thin">
        <color theme="4"/>
      </left>
      <right style="thin">
        <color theme="4"/>
      </right>
      <top/>
      <bottom style="thick">
        <color theme="4"/>
      </bottom>
      <diagonal/>
    </border>
    <border>
      <left style="thin">
        <color theme="4"/>
      </left>
      <right style="thick">
        <color theme="4"/>
      </right>
      <top/>
      <bottom style="thick">
        <color theme="4"/>
      </bottom>
      <diagonal/>
    </border>
    <border>
      <left style="thin">
        <color theme="0"/>
      </left>
      <right style="thick">
        <color theme="0"/>
      </right>
      <top style="thick">
        <color theme="4"/>
      </top>
      <bottom style="thin">
        <color theme="0"/>
      </bottom>
      <diagonal/>
    </border>
    <border>
      <left style="thick">
        <color theme="4"/>
      </left>
      <right style="thin">
        <color theme="4"/>
      </right>
      <top/>
      <bottom/>
      <diagonal/>
    </border>
    <border>
      <left style="thick">
        <color theme="4"/>
      </left>
      <right style="thin">
        <color theme="4"/>
      </right>
      <top/>
      <bottom style="thick">
        <color theme="4"/>
      </bottom>
      <diagonal/>
    </border>
    <border>
      <left style="thin">
        <color theme="4"/>
      </left>
      <right/>
      <top/>
      <bottom/>
      <diagonal/>
    </border>
    <border>
      <left style="thin">
        <color theme="4"/>
      </left>
      <right/>
      <top/>
      <bottom style="thick">
        <color theme="4"/>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style="thick">
        <color theme="4"/>
      </right>
      <top/>
      <bottom/>
      <diagonal/>
    </border>
    <border>
      <left style="thick">
        <color theme="0"/>
      </left>
      <right style="thin">
        <color theme="0"/>
      </right>
      <top/>
      <bottom/>
      <diagonal/>
    </border>
    <border>
      <left style="thick">
        <color theme="0"/>
      </left>
      <right style="thin">
        <color theme="0"/>
      </right>
      <top style="thick">
        <color theme="4"/>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ck">
        <color theme="4"/>
      </top>
      <bottom style="thin">
        <color theme="0"/>
      </bottom>
      <diagonal/>
    </border>
    <border>
      <left/>
      <right/>
      <top style="thick">
        <color theme="4"/>
      </top>
      <bottom style="thin">
        <color theme="0"/>
      </bottom>
      <diagonal/>
    </border>
    <border>
      <left/>
      <right style="thick">
        <color theme="4"/>
      </right>
      <top style="thick">
        <color theme="4"/>
      </top>
      <bottom style="thin">
        <color theme="0"/>
      </bottom>
      <diagonal/>
    </border>
    <border>
      <left style="thick">
        <color theme="0"/>
      </left>
      <right style="thick">
        <color theme="4"/>
      </right>
      <top/>
      <bottom/>
      <diagonal/>
    </border>
    <border>
      <left style="thick">
        <color theme="0"/>
      </left>
      <right/>
      <top/>
      <bottom/>
      <diagonal/>
    </border>
    <border>
      <left style="thick">
        <color theme="0"/>
      </left>
      <right style="thin">
        <color theme="0"/>
      </right>
      <top style="thin">
        <color theme="0"/>
      </top>
      <bottom style="thin">
        <color theme="0"/>
      </bottom>
      <diagonal/>
    </border>
    <border>
      <left style="medium">
        <color theme="5" tint="-0.24994659260841701"/>
      </left>
      <right style="medium">
        <color theme="5" tint="-0.24994659260841701"/>
      </right>
      <top style="medium">
        <color theme="5" tint="-0.24994659260841701"/>
      </top>
      <bottom/>
      <diagonal/>
    </border>
    <border>
      <left style="medium">
        <color theme="5" tint="-0.24994659260841701"/>
      </left>
      <right style="medium">
        <color theme="5" tint="-0.24994659260841701"/>
      </right>
      <top/>
      <bottom/>
      <diagonal/>
    </border>
    <border>
      <left style="medium">
        <color theme="5" tint="-0.24994659260841701"/>
      </left>
      <right style="medium">
        <color theme="5" tint="-0.24994659260841701"/>
      </right>
      <top/>
      <bottom style="medium">
        <color theme="5" tint="-0.24994659260841701"/>
      </bottom>
      <diagonal/>
    </border>
    <border>
      <left style="medium">
        <color theme="8" tint="-0.24994659260841701"/>
      </left>
      <right style="medium">
        <color theme="8" tint="-0.24994659260841701"/>
      </right>
      <top style="medium">
        <color theme="8" tint="-0.24994659260841701"/>
      </top>
      <bottom/>
      <diagonal/>
    </border>
    <border>
      <left style="medium">
        <color theme="8" tint="-0.24994659260841701"/>
      </left>
      <right style="medium">
        <color theme="8" tint="-0.24994659260841701"/>
      </right>
      <top/>
      <bottom/>
      <diagonal/>
    </border>
    <border>
      <left style="medium">
        <color theme="8" tint="-0.24994659260841701"/>
      </left>
      <right style="medium">
        <color theme="8" tint="-0.24994659260841701"/>
      </right>
      <top/>
      <bottom style="medium">
        <color theme="8" tint="-0.24994659260841701"/>
      </bottom>
      <diagonal/>
    </border>
    <border>
      <left/>
      <right/>
      <top/>
      <bottom style="thick">
        <color theme="4"/>
      </bottom>
      <diagonal/>
    </border>
    <border>
      <left style="thin">
        <color theme="0"/>
      </left>
      <right style="thick">
        <color theme="4"/>
      </right>
      <top/>
      <bottom style="thin">
        <color theme="0"/>
      </bottom>
      <diagonal/>
    </border>
    <border>
      <left style="thin">
        <color theme="0"/>
      </left>
      <right/>
      <top/>
      <bottom style="thin">
        <color theme="0"/>
      </bottom>
      <diagonal/>
    </border>
    <border>
      <left style="thin">
        <color theme="0"/>
      </left>
      <right style="thin">
        <color theme="0"/>
      </right>
      <top/>
      <bottom style="thin">
        <color theme="0"/>
      </bottom>
      <diagonal/>
    </border>
    <border>
      <left style="medium">
        <color theme="8" tint="-0.499984740745262"/>
      </left>
      <right/>
      <top style="medium">
        <color theme="8" tint="-0.499984740745262"/>
      </top>
      <bottom/>
      <diagonal/>
    </border>
    <border>
      <left/>
      <right/>
      <top style="medium">
        <color theme="8" tint="-0.499984740745262"/>
      </top>
      <bottom/>
      <diagonal/>
    </border>
    <border>
      <left/>
      <right style="medium">
        <color theme="8" tint="-0.499984740745262"/>
      </right>
      <top style="medium">
        <color theme="8" tint="-0.499984740745262"/>
      </top>
      <bottom/>
      <diagonal/>
    </border>
    <border>
      <left style="medium">
        <color theme="8" tint="-0.499984740745262"/>
      </left>
      <right/>
      <top/>
      <bottom/>
      <diagonal/>
    </border>
    <border>
      <left/>
      <right style="medium">
        <color theme="8" tint="-0.499984740745262"/>
      </right>
      <top/>
      <bottom/>
      <diagonal/>
    </border>
    <border>
      <left style="medium">
        <color theme="8" tint="-0.499984740745262"/>
      </left>
      <right/>
      <top/>
      <bottom style="medium">
        <color theme="8" tint="-0.499984740745262"/>
      </bottom>
      <diagonal/>
    </border>
    <border>
      <left/>
      <right/>
      <top/>
      <bottom style="medium">
        <color theme="8" tint="-0.499984740745262"/>
      </bottom>
      <diagonal/>
    </border>
    <border>
      <left/>
      <right style="medium">
        <color theme="8" tint="-0.499984740745262"/>
      </right>
      <top/>
      <bottom style="medium">
        <color theme="8" tint="-0.499984740745262"/>
      </bottom>
      <diagonal/>
    </border>
    <border>
      <left style="medium">
        <color theme="8" tint="-0.499984740745262"/>
      </left>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style="medium">
        <color theme="8" tint="-0.24994659260841701"/>
      </left>
      <right/>
      <top style="medium">
        <color theme="8" tint="-0.24994659260841701"/>
      </top>
      <bottom style="medium">
        <color theme="8" tint="-0.24994659260841701"/>
      </bottom>
      <diagonal/>
    </border>
    <border>
      <left/>
      <right/>
      <top style="medium">
        <color theme="8" tint="-0.24994659260841701"/>
      </top>
      <bottom style="medium">
        <color theme="8" tint="-0.24994659260841701"/>
      </bottom>
      <diagonal/>
    </border>
    <border>
      <left/>
      <right style="medium">
        <color theme="8" tint="-0.24994659260841701"/>
      </right>
      <top style="medium">
        <color theme="8" tint="-0.24994659260841701"/>
      </top>
      <bottom style="medium">
        <color theme="8" tint="-0.24994659260841701"/>
      </bottom>
      <diagonal/>
    </border>
    <border>
      <left style="thick">
        <color theme="0"/>
      </left>
      <right style="thin">
        <color theme="4"/>
      </right>
      <top style="thick">
        <color theme="4"/>
      </top>
      <bottom/>
      <diagonal/>
    </border>
    <border>
      <left style="thin">
        <color theme="4"/>
      </left>
      <right style="thin">
        <color theme="4"/>
      </right>
      <top style="thick">
        <color theme="4"/>
      </top>
      <bottom/>
      <diagonal/>
    </border>
    <border>
      <left style="thin">
        <color theme="4"/>
      </left>
      <right/>
      <top style="thick">
        <color theme="4"/>
      </top>
      <bottom/>
      <diagonal/>
    </border>
    <border>
      <left style="thin">
        <color theme="4"/>
      </left>
      <right style="thick">
        <color theme="4"/>
      </right>
      <top style="thick">
        <color theme="4"/>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style="thin">
        <color theme="0"/>
      </top>
      <bottom style="thin">
        <color theme="0"/>
      </bottom>
      <diagonal/>
    </border>
    <border>
      <left/>
      <right style="thick">
        <color theme="4"/>
      </right>
      <top style="thin">
        <color theme="0"/>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thin">
        <color theme="4"/>
      </left>
      <right style="thin">
        <color theme="4"/>
      </right>
      <top/>
      <bottom style="medium">
        <color theme="3" tint="0.39997558519241921"/>
      </bottom>
      <diagonal/>
    </border>
  </borders>
  <cellStyleXfs count="8">
    <xf numFmtId="0" fontId="0" fillId="0" borderId="0"/>
    <xf numFmtId="165" fontId="1" fillId="0" borderId="0" applyFont="0" applyFill="0" applyBorder="0" applyAlignment="0" applyProtection="0"/>
    <xf numFmtId="9" fontId="1" fillId="0" borderId="0" applyFont="0" applyFill="0" applyBorder="0" applyAlignment="0" applyProtection="0"/>
    <xf numFmtId="0" fontId="6" fillId="2" borderId="0" applyNumberFormat="0" applyBorder="0" applyAlignment="0" applyProtection="0"/>
    <xf numFmtId="0" fontId="1" fillId="3" borderId="0" applyNumberFormat="0" applyBorder="0" applyAlignment="0" applyProtection="0"/>
    <xf numFmtId="0" fontId="6" fillId="4" borderId="0" applyNumberFormat="0" applyBorder="0" applyAlignment="0" applyProtection="0"/>
    <xf numFmtId="0" fontId="23" fillId="12" borderId="0" applyNumberFormat="0" applyBorder="0" applyAlignment="0" applyProtection="0"/>
    <xf numFmtId="0" fontId="33" fillId="0" borderId="0" applyNumberFormat="0" applyFill="0" applyBorder="0" applyAlignment="0" applyProtection="0"/>
  </cellStyleXfs>
  <cellXfs count="359">
    <xf numFmtId="0" fontId="0" fillId="0" borderId="0" xfId="0"/>
    <xf numFmtId="0" fontId="5" fillId="0" borderId="0" xfId="0" applyFont="1"/>
    <xf numFmtId="0" fontId="3" fillId="2" borderId="4" xfId="3" applyFont="1" applyBorder="1"/>
    <xf numFmtId="0" fontId="3" fillId="2" borderId="6" xfId="3" applyFont="1" applyBorder="1"/>
    <xf numFmtId="0" fontId="2" fillId="5" borderId="4" xfId="5" applyFont="1" applyFill="1" applyBorder="1"/>
    <xf numFmtId="0" fontId="2" fillId="5" borderId="9" xfId="5" applyFont="1" applyFill="1" applyBorder="1"/>
    <xf numFmtId="0" fontId="3" fillId="2" borderId="9" xfId="3" applyFont="1" applyBorder="1"/>
    <xf numFmtId="0" fontId="3" fillId="2" borderId="10" xfId="3" applyFont="1" applyBorder="1"/>
    <xf numFmtId="0" fontId="7" fillId="5" borderId="22" xfId="5" applyFont="1" applyFill="1" applyBorder="1" applyAlignment="1">
      <alignment horizontal="center"/>
    </xf>
    <xf numFmtId="0" fontId="7" fillId="5" borderId="23" xfId="5" applyFont="1" applyFill="1" applyBorder="1" applyAlignment="1">
      <alignment horizontal="center"/>
    </xf>
    <xf numFmtId="0" fontId="7" fillId="5" borderId="24" xfId="5" applyFont="1" applyFill="1" applyBorder="1" applyAlignment="1">
      <alignment horizontal="center"/>
    </xf>
    <xf numFmtId="0" fontId="5" fillId="7" borderId="0" xfId="0" applyFont="1" applyFill="1"/>
    <xf numFmtId="0" fontId="8" fillId="7" borderId="0" xfId="0" applyFont="1" applyFill="1"/>
    <xf numFmtId="0" fontId="7" fillId="5" borderId="31" xfId="5" applyFont="1" applyFill="1" applyBorder="1" applyAlignment="1">
      <alignment horizontal="center"/>
    </xf>
    <xf numFmtId="0" fontId="2" fillId="6" borderId="4" xfId="5" applyFont="1" applyFill="1" applyBorder="1"/>
    <xf numFmtId="0" fontId="2" fillId="6" borderId="9" xfId="5" applyFont="1" applyFill="1" applyBorder="1"/>
    <xf numFmtId="0" fontId="7" fillId="6" borderId="22" xfId="5" applyFont="1" applyFill="1" applyBorder="1" applyAlignment="1">
      <alignment horizontal="center"/>
    </xf>
    <xf numFmtId="0" fontId="7" fillId="6" borderId="31" xfId="5" applyFont="1" applyFill="1" applyBorder="1" applyAlignment="1">
      <alignment horizontal="center"/>
    </xf>
    <xf numFmtId="0" fontId="5" fillId="0" borderId="0" xfId="0" applyFont="1" applyAlignment="1">
      <alignment wrapText="1"/>
    </xf>
    <xf numFmtId="0" fontId="3" fillId="8" borderId="15" xfId="5" applyFont="1" applyFill="1" applyBorder="1" applyAlignment="1">
      <alignment horizontal="center" wrapText="1"/>
    </xf>
    <xf numFmtId="0" fontId="0" fillId="0" borderId="0" xfId="0" applyAlignment="1">
      <alignment wrapText="1"/>
    </xf>
    <xf numFmtId="0" fontId="2" fillId="9" borderId="4" xfId="5" applyFont="1" applyFill="1" applyBorder="1"/>
    <xf numFmtId="0" fontId="2" fillId="9" borderId="9" xfId="5" applyFont="1" applyFill="1" applyBorder="1"/>
    <xf numFmtId="0" fontId="7" fillId="9" borderId="22" xfId="5" applyFont="1" applyFill="1" applyBorder="1" applyAlignment="1">
      <alignment horizontal="center"/>
    </xf>
    <xf numFmtId="0" fontId="7" fillId="9" borderId="23" xfId="5" applyFont="1" applyFill="1" applyBorder="1" applyAlignment="1">
      <alignment horizontal="center"/>
    </xf>
    <xf numFmtId="0" fontId="7" fillId="9" borderId="31" xfId="5" applyFont="1" applyFill="1" applyBorder="1" applyAlignment="1">
      <alignment horizontal="center"/>
    </xf>
    <xf numFmtId="0" fontId="10" fillId="0" borderId="0" xfId="0" applyFont="1"/>
    <xf numFmtId="0" fontId="8" fillId="7" borderId="0" xfId="0" applyFont="1" applyFill="1" applyAlignment="1">
      <alignment vertical="top"/>
    </xf>
    <xf numFmtId="0" fontId="5" fillId="7" borderId="0" xfId="0" applyFont="1" applyFill="1" applyAlignment="1">
      <alignment vertical="top"/>
    </xf>
    <xf numFmtId="0" fontId="0" fillId="0" borderId="0" xfId="0" applyAlignment="1">
      <alignment vertical="top"/>
    </xf>
    <xf numFmtId="166" fontId="5" fillId="7" borderId="0" xfId="1" applyNumberFormat="1" applyFont="1" applyFill="1"/>
    <xf numFmtId="166" fontId="0" fillId="0" borderId="0" xfId="1" applyNumberFormat="1" applyFont="1"/>
    <xf numFmtId="166" fontId="7" fillId="9" borderId="24" xfId="1" applyNumberFormat="1" applyFont="1" applyFill="1" applyBorder="1" applyAlignment="1">
      <alignment horizontal="center"/>
    </xf>
    <xf numFmtId="0" fontId="3" fillId="8" borderId="13" xfId="5" applyFont="1" applyFill="1" applyBorder="1" applyAlignment="1">
      <alignment horizontal="center" wrapText="1"/>
    </xf>
    <xf numFmtId="166" fontId="7" fillId="6" borderId="43" xfId="1" applyNumberFormat="1" applyFont="1" applyFill="1" applyBorder="1" applyAlignment="1">
      <alignment horizontal="center"/>
    </xf>
    <xf numFmtId="0" fontId="0" fillId="0" borderId="0" xfId="0" applyAlignment="1">
      <alignment horizontal="left" vertical="top" wrapText="1"/>
    </xf>
    <xf numFmtId="0" fontId="10" fillId="0" borderId="0" xfId="0" applyFont="1" applyAlignment="1">
      <alignment vertical="top"/>
    </xf>
    <xf numFmtId="14" fontId="0" fillId="0" borderId="0" xfId="0" applyNumberFormat="1" applyAlignment="1">
      <alignment vertical="top"/>
    </xf>
    <xf numFmtId="0" fontId="11" fillId="0" borderId="0" xfId="0" applyFont="1" applyAlignment="1">
      <alignment vertical="top"/>
    </xf>
    <xf numFmtId="168" fontId="9" fillId="5" borderId="22" xfId="5" applyNumberFormat="1" applyFont="1" applyFill="1" applyBorder="1" applyAlignment="1">
      <alignment horizontal="center"/>
    </xf>
    <xf numFmtId="168" fontId="9" fillId="5" borderId="23" xfId="5" applyNumberFormat="1" applyFont="1" applyFill="1" applyBorder="1" applyAlignment="1">
      <alignment horizontal="center"/>
    </xf>
    <xf numFmtId="168" fontId="9" fillId="5" borderId="31" xfId="5" applyNumberFormat="1" applyFont="1" applyFill="1" applyBorder="1" applyAlignment="1">
      <alignment horizontal="center"/>
    </xf>
    <xf numFmtId="168" fontId="9" fillId="5" borderId="24" xfId="1" applyNumberFormat="1" applyFont="1" applyFill="1" applyBorder="1" applyAlignment="1">
      <alignment horizontal="center"/>
    </xf>
    <xf numFmtId="0" fontId="4" fillId="0" borderId="0" xfId="0" applyFont="1" applyAlignment="1">
      <alignment vertical="top"/>
    </xf>
    <xf numFmtId="0" fontId="3" fillId="2" borderId="0" xfId="3" applyFont="1" applyAlignment="1">
      <alignment vertical="top"/>
    </xf>
    <xf numFmtId="0" fontId="5" fillId="3" borderId="0" xfId="4" applyFont="1" applyAlignment="1">
      <alignment vertical="top"/>
    </xf>
    <xf numFmtId="0" fontId="3" fillId="2" borderId="12" xfId="3" applyFont="1" applyBorder="1" applyAlignment="1">
      <alignment horizontal="center" vertical="top"/>
    </xf>
    <xf numFmtId="0" fontId="3" fillId="2" borderId="13" xfId="3" applyFont="1" applyBorder="1" applyAlignment="1">
      <alignment horizontal="center" vertical="top"/>
    </xf>
    <xf numFmtId="0" fontId="3" fillId="2" borderId="16" xfId="3" applyFont="1" applyBorder="1" applyAlignment="1">
      <alignment horizontal="center" vertical="top"/>
    </xf>
    <xf numFmtId="0" fontId="3" fillId="2" borderId="15" xfId="3" applyFont="1" applyBorder="1" applyAlignment="1">
      <alignment horizontal="center" vertical="top"/>
    </xf>
    <xf numFmtId="0" fontId="0" fillId="0" borderId="4" xfId="0" applyBorder="1" applyAlignment="1">
      <alignment horizontal="left" vertical="top"/>
    </xf>
    <xf numFmtId="0" fontId="0" fillId="0" borderId="5" xfId="0" applyBorder="1" applyAlignment="1">
      <alignment horizontal="center" vertical="top"/>
    </xf>
    <xf numFmtId="167" fontId="0" fillId="0" borderId="29" xfId="2" applyNumberFormat="1" applyFont="1" applyBorder="1" applyAlignment="1">
      <alignment horizontal="right" vertical="top"/>
    </xf>
    <xf numFmtId="167" fontId="0" fillId="0" borderId="23" xfId="2" applyNumberFormat="1" applyFont="1" applyBorder="1" applyAlignment="1">
      <alignment horizontal="right" vertical="top"/>
    </xf>
    <xf numFmtId="167" fontId="0" fillId="0" borderId="24" xfId="2" applyNumberFormat="1" applyFont="1" applyBorder="1" applyAlignment="1">
      <alignment horizontal="right" vertical="top"/>
    </xf>
    <xf numFmtId="0" fontId="0" fillId="0" borderId="6" xfId="0" applyBorder="1" applyAlignment="1">
      <alignment horizontal="left" vertical="top"/>
    </xf>
    <xf numFmtId="0" fontId="0" fillId="0" borderId="7" xfId="0" applyBorder="1" applyAlignment="1">
      <alignment horizontal="center" vertical="top"/>
    </xf>
    <xf numFmtId="167" fontId="0" fillId="0" borderId="30" xfId="2" applyNumberFormat="1" applyFont="1" applyBorder="1" applyAlignment="1">
      <alignment horizontal="right" vertical="top"/>
    </xf>
    <xf numFmtId="167" fontId="0" fillId="0" borderId="26" xfId="2" applyNumberFormat="1" applyFont="1" applyBorder="1" applyAlignment="1">
      <alignment horizontal="right" vertical="top"/>
    </xf>
    <xf numFmtId="167" fontId="0" fillId="0" borderId="27" xfId="2" applyNumberFormat="1" applyFont="1" applyBorder="1" applyAlignment="1">
      <alignment horizontal="right" vertical="top"/>
    </xf>
    <xf numFmtId="0" fontId="0" fillId="0" borderId="5" xfId="0" applyBorder="1" applyAlignment="1">
      <alignment horizontal="left" vertical="top"/>
    </xf>
    <xf numFmtId="0" fontId="0" fillId="0" borderId="7" xfId="0" applyBorder="1" applyAlignment="1">
      <alignment horizontal="left" vertical="top"/>
    </xf>
    <xf numFmtId="0" fontId="7" fillId="6" borderId="24" xfId="5" applyFont="1" applyFill="1" applyBorder="1" applyAlignment="1">
      <alignment horizontal="center"/>
    </xf>
    <xf numFmtId="0" fontId="12" fillId="0" borderId="0" xfId="0" applyFont="1"/>
    <xf numFmtId="0" fontId="6" fillId="8" borderId="13" xfId="5" applyFill="1" applyBorder="1" applyAlignment="1">
      <alignment horizontal="center" wrapText="1"/>
    </xf>
    <xf numFmtId="0" fontId="3" fillId="10" borderId="46" xfId="0" applyFont="1" applyFill="1" applyBorder="1" applyAlignment="1">
      <alignment horizontal="center" wrapText="1"/>
    </xf>
    <xf numFmtId="0" fontId="5" fillId="7" borderId="0" xfId="0" applyFont="1" applyFill="1" applyAlignment="1">
      <alignment horizontal="center"/>
    </xf>
    <xf numFmtId="0" fontId="0" fillId="0" borderId="0" xfId="0" applyAlignment="1">
      <alignment horizontal="center"/>
    </xf>
    <xf numFmtId="0" fontId="0" fillId="0" borderId="47" xfId="0" applyBorder="1" applyAlignment="1">
      <alignment horizontal="center"/>
    </xf>
    <xf numFmtId="0" fontId="14" fillId="0" borderId="47" xfId="0" applyFont="1" applyBorder="1" applyAlignment="1">
      <alignment horizontal="center"/>
    </xf>
    <xf numFmtId="0" fontId="14" fillId="0" borderId="48" xfId="0" applyFont="1" applyBorder="1" applyAlignment="1">
      <alignment horizontal="center"/>
    </xf>
    <xf numFmtId="0" fontId="0" fillId="0" borderId="50" xfId="0" applyBorder="1"/>
    <xf numFmtId="0" fontId="3" fillId="11" borderId="49" xfId="0" applyFont="1" applyFill="1" applyBorder="1" applyAlignment="1">
      <alignment horizontal="center" wrapText="1"/>
    </xf>
    <xf numFmtId="0" fontId="6" fillId="10" borderId="47" xfId="0" applyFont="1" applyFill="1" applyBorder="1" applyAlignment="1">
      <alignment horizontal="center" vertical="center" wrapText="1"/>
    </xf>
    <xf numFmtId="0" fontId="5" fillId="7" borderId="0" xfId="0" applyFont="1" applyFill="1" applyAlignment="1">
      <alignment horizontal="right" vertical="top"/>
    </xf>
    <xf numFmtId="0" fontId="21" fillId="0" borderId="0" xfId="0" applyFont="1" applyAlignment="1">
      <alignment horizontal="justify" vertical="center"/>
    </xf>
    <xf numFmtId="0" fontId="25" fillId="0" borderId="0" xfId="0" applyFont="1"/>
    <xf numFmtId="0" fontId="26" fillId="13" borderId="0" xfId="0" applyFont="1" applyFill="1"/>
    <xf numFmtId="0" fontId="26" fillId="13" borderId="59" xfId="0" applyFont="1" applyFill="1" applyBorder="1"/>
    <xf numFmtId="166" fontId="26" fillId="13" borderId="60" xfId="1" applyNumberFormat="1" applyFont="1" applyFill="1" applyBorder="1"/>
    <xf numFmtId="0" fontId="26" fillId="13" borderId="61" xfId="0" applyFont="1" applyFill="1" applyBorder="1"/>
    <xf numFmtId="0" fontId="26" fillId="13" borderId="62" xfId="0" applyFont="1" applyFill="1" applyBorder="1"/>
    <xf numFmtId="166" fontId="26" fillId="13" borderId="63" xfId="1" applyNumberFormat="1" applyFont="1" applyFill="1" applyBorder="1"/>
    <xf numFmtId="0" fontId="26" fillId="13" borderId="65" xfId="0" applyFont="1" applyFill="1" applyBorder="1"/>
    <xf numFmtId="0" fontId="28" fillId="13" borderId="64" xfId="6" applyFont="1" applyFill="1" applyBorder="1"/>
    <xf numFmtId="0" fontId="28" fillId="13" borderId="65" xfId="6" applyFont="1" applyFill="1" applyBorder="1"/>
    <xf numFmtId="0" fontId="29" fillId="13" borderId="65" xfId="6" applyFont="1" applyFill="1" applyBorder="1"/>
    <xf numFmtId="0" fontId="30" fillId="13" borderId="66" xfId="6" applyFont="1" applyFill="1" applyBorder="1"/>
    <xf numFmtId="0" fontId="30" fillId="0" borderId="0" xfId="6" applyFont="1" applyFill="1" applyBorder="1"/>
    <xf numFmtId="166" fontId="30" fillId="0" borderId="0" xfId="6" applyNumberFormat="1" applyFont="1" applyFill="1" applyBorder="1"/>
    <xf numFmtId="0" fontId="31" fillId="0" borderId="0" xfId="0" applyFont="1"/>
    <xf numFmtId="0" fontId="30" fillId="13" borderId="65" xfId="6" applyFont="1" applyFill="1" applyBorder="1"/>
    <xf numFmtId="0" fontId="31" fillId="13" borderId="65" xfId="0" applyFont="1" applyFill="1" applyBorder="1"/>
    <xf numFmtId="0" fontId="28" fillId="13" borderId="56" xfId="6" applyFont="1" applyFill="1" applyBorder="1"/>
    <xf numFmtId="0" fontId="28" fillId="13" borderId="57" xfId="6" applyFont="1" applyFill="1" applyBorder="1"/>
    <xf numFmtId="0" fontId="30" fillId="13" borderId="57" xfId="6" applyFont="1" applyFill="1" applyBorder="1"/>
    <xf numFmtId="166" fontId="30" fillId="13" borderId="58" xfId="6" applyNumberFormat="1" applyFont="1" applyFill="1" applyBorder="1"/>
    <xf numFmtId="0" fontId="28" fillId="13" borderId="57" xfId="6" applyFont="1" applyFill="1" applyBorder="1" applyAlignment="1">
      <alignment horizontal="left"/>
    </xf>
    <xf numFmtId="0" fontId="0" fillId="13" borderId="4" xfId="0" applyFill="1" applyBorder="1" applyAlignment="1">
      <alignment horizontal="left" vertical="top"/>
    </xf>
    <xf numFmtId="0" fontId="0" fillId="13" borderId="5" xfId="0" applyFill="1" applyBorder="1" applyAlignment="1">
      <alignment horizontal="center" vertical="top"/>
    </xf>
    <xf numFmtId="167" fontId="0" fillId="13" borderId="29" xfId="2" applyNumberFormat="1" applyFont="1" applyFill="1" applyBorder="1" applyAlignment="1">
      <alignment horizontal="right" vertical="top"/>
    </xf>
    <xf numFmtId="167" fontId="0" fillId="13" borderId="23" xfId="2" applyNumberFormat="1" applyFont="1" applyFill="1" applyBorder="1" applyAlignment="1">
      <alignment horizontal="right" vertical="top"/>
    </xf>
    <xf numFmtId="167" fontId="0" fillId="13" borderId="24" xfId="2" applyNumberFormat="1" applyFont="1" applyFill="1" applyBorder="1" applyAlignment="1">
      <alignment horizontal="right" vertical="top"/>
    </xf>
    <xf numFmtId="0" fontId="0" fillId="13" borderId="5" xfId="0" applyFill="1" applyBorder="1" applyAlignment="1">
      <alignment horizontal="left" vertical="top"/>
    </xf>
    <xf numFmtId="0" fontId="0" fillId="13" borderId="6" xfId="0" applyFill="1" applyBorder="1" applyAlignment="1">
      <alignment horizontal="left" vertical="top"/>
    </xf>
    <xf numFmtId="0" fontId="0" fillId="13" borderId="7" xfId="0" applyFill="1" applyBorder="1" applyAlignment="1">
      <alignment horizontal="left" vertical="top"/>
    </xf>
    <xf numFmtId="167" fontId="0" fillId="13" borderId="30" xfId="2" applyNumberFormat="1" applyFont="1" applyFill="1" applyBorder="1" applyAlignment="1">
      <alignment horizontal="right" vertical="top"/>
    </xf>
    <xf numFmtId="167" fontId="0" fillId="13" borderId="26" xfId="2" applyNumberFormat="1" applyFont="1" applyFill="1" applyBorder="1" applyAlignment="1">
      <alignment horizontal="right" vertical="top"/>
    </xf>
    <xf numFmtId="167" fontId="0" fillId="13" borderId="27" xfId="2" applyNumberFormat="1" applyFont="1" applyFill="1" applyBorder="1" applyAlignment="1">
      <alignment horizontal="right" vertical="top"/>
    </xf>
    <xf numFmtId="0" fontId="28" fillId="13" borderId="67" xfId="6" applyFont="1" applyFill="1" applyBorder="1"/>
    <xf numFmtId="0" fontId="28" fillId="13" borderId="68" xfId="6" applyFont="1" applyFill="1" applyBorder="1"/>
    <xf numFmtId="0" fontId="26" fillId="13" borderId="68" xfId="0" applyFont="1" applyFill="1" applyBorder="1"/>
    <xf numFmtId="0" fontId="30" fillId="13" borderId="68" xfId="6" applyFont="1" applyFill="1" applyBorder="1"/>
    <xf numFmtId="166" fontId="30" fillId="13" borderId="68" xfId="6" applyNumberFormat="1" applyFont="1" applyFill="1" applyBorder="1"/>
    <xf numFmtId="0" fontId="31" fillId="13" borderId="69" xfId="0" applyFont="1" applyFill="1" applyBorder="1"/>
    <xf numFmtId="0" fontId="28" fillId="13" borderId="68" xfId="6" applyFont="1" applyFill="1" applyBorder="1" applyAlignment="1">
      <alignment horizontal="center"/>
    </xf>
    <xf numFmtId="0" fontId="2" fillId="9" borderId="1" xfId="5" applyFont="1" applyFill="1" applyBorder="1"/>
    <xf numFmtId="0" fontId="2" fillId="9" borderId="8" xfId="5" applyFont="1" applyFill="1" applyBorder="1"/>
    <xf numFmtId="166" fontId="7" fillId="9" borderId="73" xfId="1" applyNumberFormat="1" applyFont="1" applyFill="1" applyBorder="1" applyAlignment="1">
      <alignment horizontal="center"/>
    </xf>
    <xf numFmtId="164" fontId="0" fillId="0" borderId="22" xfId="1" applyNumberFormat="1" applyFont="1" applyBorder="1" applyAlignment="1" applyProtection="1">
      <alignment horizontal="right" indent="2"/>
      <protection locked="0"/>
    </xf>
    <xf numFmtId="164" fontId="0" fillId="0" borderId="31" xfId="1" applyNumberFormat="1" applyFont="1" applyBorder="1" applyAlignment="1" applyProtection="1">
      <alignment horizontal="right" indent="2"/>
      <protection locked="0"/>
    </xf>
    <xf numFmtId="164" fontId="0" fillId="0" borderId="25" xfId="1" applyNumberFormat="1" applyFont="1" applyBorder="1" applyAlignment="1" applyProtection="1">
      <alignment horizontal="right" indent="2"/>
      <protection locked="0"/>
    </xf>
    <xf numFmtId="164" fontId="0" fillId="0" borderId="32" xfId="1" applyNumberFormat="1" applyFont="1" applyBorder="1" applyAlignment="1" applyProtection="1">
      <alignment horizontal="right" indent="2"/>
      <protection locked="0"/>
    </xf>
    <xf numFmtId="166" fontId="0" fillId="14" borderId="24" xfId="1" applyNumberFormat="1" applyFont="1" applyFill="1" applyBorder="1"/>
    <xf numFmtId="166" fontId="0" fillId="14" borderId="27" xfId="1" applyNumberFormat="1" applyFont="1" applyFill="1" applyBorder="1"/>
    <xf numFmtId="166" fontId="0" fillId="0" borderId="22" xfId="1" applyNumberFormat="1" applyFont="1" applyBorder="1" applyProtection="1">
      <protection locked="0"/>
    </xf>
    <xf numFmtId="166" fontId="0" fillId="0" borderId="23" xfId="1" applyNumberFormat="1" applyFont="1" applyBorder="1" applyProtection="1">
      <protection locked="0"/>
    </xf>
    <xf numFmtId="166" fontId="0" fillId="0" borderId="31" xfId="1" applyNumberFormat="1" applyFont="1" applyBorder="1" applyProtection="1">
      <protection locked="0"/>
    </xf>
    <xf numFmtId="166" fontId="0" fillId="0" borderId="26" xfId="1" applyNumberFormat="1" applyFont="1" applyBorder="1" applyProtection="1">
      <protection locked="0"/>
    </xf>
    <xf numFmtId="166" fontId="0" fillId="0" borderId="32" xfId="1" applyNumberFormat="1" applyFont="1" applyBorder="1" applyProtection="1">
      <protection locked="0"/>
    </xf>
    <xf numFmtId="0" fontId="26" fillId="13" borderId="59" xfId="0" applyFont="1" applyFill="1" applyBorder="1" applyProtection="1">
      <protection locked="0"/>
    </xf>
    <xf numFmtId="0" fontId="28" fillId="0" borderId="0" xfId="6" applyFont="1" applyFill="1" applyBorder="1"/>
    <xf numFmtId="0" fontId="28" fillId="0" borderId="0" xfId="6" applyFont="1" applyFill="1" applyBorder="1" applyAlignment="1">
      <alignment horizontal="center"/>
    </xf>
    <xf numFmtId="0" fontId="26" fillId="0" borderId="0" xfId="0" applyFont="1"/>
    <xf numFmtId="0" fontId="23" fillId="12" borderId="74" xfId="6" applyBorder="1"/>
    <xf numFmtId="0" fontId="23" fillId="12" borderId="75" xfId="6" applyBorder="1"/>
    <xf numFmtId="0" fontId="23" fillId="12" borderId="75" xfId="6" applyBorder="1" applyAlignment="1">
      <alignment horizontal="center"/>
    </xf>
    <xf numFmtId="0" fontId="23" fillId="12" borderId="76" xfId="6" applyBorder="1"/>
    <xf numFmtId="0" fontId="27" fillId="0" borderId="0" xfId="0" applyFont="1" applyAlignment="1">
      <alignment horizontal="center"/>
    </xf>
    <xf numFmtId="166" fontId="26" fillId="0" borderId="0" xfId="1" applyNumberFormat="1" applyFont="1" applyFill="1" applyBorder="1"/>
    <xf numFmtId="0" fontId="27" fillId="0" borderId="0" xfId="0" applyFont="1" applyAlignment="1">
      <alignment horizontal="left" wrapText="1"/>
    </xf>
    <xf numFmtId="166" fontId="0" fillId="0" borderId="0" xfId="1" applyNumberFormat="1" applyFont="1" applyFill="1"/>
    <xf numFmtId="0" fontId="6" fillId="8" borderId="13" xfId="5" applyFill="1" applyBorder="1" applyAlignment="1">
      <alignment horizontal="center" vertical="center" wrapText="1"/>
    </xf>
    <xf numFmtId="0" fontId="23" fillId="0" borderId="0" xfId="6" applyFill="1" applyBorder="1"/>
    <xf numFmtId="0" fontId="23" fillId="0" borderId="0" xfId="6" applyFill="1" applyBorder="1" applyAlignment="1">
      <alignment horizontal="center"/>
    </xf>
    <xf numFmtId="0" fontId="23" fillId="12" borderId="79" xfId="6" applyBorder="1"/>
    <xf numFmtId="0" fontId="23" fillId="12" borderId="80" xfId="6" applyBorder="1"/>
    <xf numFmtId="0" fontId="23" fillId="12" borderId="80" xfId="6" applyBorder="1" applyAlignment="1">
      <alignment horizontal="center"/>
    </xf>
    <xf numFmtId="0" fontId="23" fillId="12" borderId="81" xfId="6" applyBorder="1"/>
    <xf numFmtId="0" fontId="23" fillId="12" borderId="83" xfId="6" applyBorder="1"/>
    <xf numFmtId="0" fontId="23" fillId="12" borderId="83" xfId="6" applyBorder="1" applyAlignment="1">
      <alignment horizontal="center"/>
    </xf>
    <xf numFmtId="0" fontId="23" fillId="12" borderId="84" xfId="6" applyBorder="1"/>
    <xf numFmtId="0" fontId="27" fillId="13" borderId="62" xfId="0" applyFont="1" applyFill="1" applyBorder="1" applyAlignment="1">
      <alignment horizontal="left"/>
    </xf>
    <xf numFmtId="0" fontId="27" fillId="13" borderId="0" xfId="0" applyFont="1" applyFill="1"/>
    <xf numFmtId="0" fontId="25" fillId="12" borderId="82" xfId="6" applyFont="1" applyBorder="1"/>
    <xf numFmtId="0" fontId="7" fillId="9" borderId="70" xfId="5" applyFont="1" applyFill="1" applyBorder="1" applyAlignment="1" applyProtection="1">
      <alignment horizontal="center"/>
      <protection locked="0"/>
    </xf>
    <xf numFmtId="0" fontId="7" fillId="9" borderId="71" xfId="5" applyFont="1" applyFill="1" applyBorder="1" applyAlignment="1" applyProtection="1">
      <alignment horizontal="center"/>
      <protection locked="0"/>
    </xf>
    <xf numFmtId="0" fontId="7" fillId="9" borderId="72" xfId="5" applyFont="1" applyFill="1" applyBorder="1" applyAlignment="1" applyProtection="1">
      <alignment horizontal="center"/>
      <protection locked="0"/>
    </xf>
    <xf numFmtId="0" fontId="7" fillId="6" borderId="22" xfId="5" applyFont="1" applyFill="1" applyBorder="1" applyAlignment="1" applyProtection="1">
      <alignment horizontal="center"/>
      <protection locked="0"/>
    </xf>
    <xf numFmtId="0" fontId="7" fillId="6" borderId="44" xfId="5" applyFont="1" applyFill="1" applyBorder="1" applyAlignment="1" applyProtection="1">
      <alignment horizontal="center"/>
      <protection locked="0"/>
    </xf>
    <xf numFmtId="0" fontId="7" fillId="9" borderId="22" xfId="5" applyFont="1" applyFill="1" applyBorder="1" applyAlignment="1" applyProtection="1">
      <alignment horizontal="center"/>
      <protection locked="0"/>
    </xf>
    <xf numFmtId="0" fontId="7" fillId="9" borderId="23" xfId="5" applyFont="1" applyFill="1" applyBorder="1" applyAlignment="1" applyProtection="1">
      <alignment horizontal="center"/>
      <protection locked="0"/>
    </xf>
    <xf numFmtId="0" fontId="7" fillId="9" borderId="31" xfId="5" applyFont="1" applyFill="1" applyBorder="1" applyAlignment="1" applyProtection="1">
      <alignment horizontal="center"/>
      <protection locked="0"/>
    </xf>
    <xf numFmtId="0" fontId="0" fillId="3" borderId="0" xfId="4" applyFont="1" applyAlignment="1">
      <alignment vertical="top" wrapText="1"/>
    </xf>
    <xf numFmtId="0" fontId="3" fillId="2" borderId="20" xfId="3" applyFont="1" applyBorder="1" applyAlignment="1">
      <alignment horizontal="center" vertical="top"/>
    </xf>
    <xf numFmtId="0" fontId="14" fillId="0" borderId="46" xfId="0" applyFont="1" applyBorder="1" applyAlignment="1">
      <alignment horizontal="center"/>
    </xf>
    <xf numFmtId="167" fontId="0" fillId="15" borderId="29" xfId="2" applyNumberFormat="1" applyFont="1" applyFill="1" applyBorder="1" applyAlignment="1">
      <alignment horizontal="right" vertical="top"/>
    </xf>
    <xf numFmtId="167" fontId="0" fillId="15" borderId="23" xfId="2" applyNumberFormat="1" applyFont="1" applyFill="1" applyBorder="1" applyAlignment="1">
      <alignment horizontal="right" vertical="top"/>
    </xf>
    <xf numFmtId="167" fontId="0" fillId="15" borderId="24" xfId="2" applyNumberFormat="1" applyFont="1" applyFill="1" applyBorder="1" applyAlignment="1">
      <alignment horizontal="right" vertical="top"/>
    </xf>
    <xf numFmtId="0" fontId="0" fillId="15" borderId="4" xfId="0" applyFill="1" applyBorder="1" applyAlignment="1">
      <alignment horizontal="left" vertical="top"/>
    </xf>
    <xf numFmtId="0" fontId="0" fillId="15" borderId="5" xfId="0" applyFill="1" applyBorder="1" applyAlignment="1">
      <alignment horizontal="center" vertical="top"/>
    </xf>
    <xf numFmtId="0" fontId="0" fillId="15" borderId="5" xfId="0" applyFill="1" applyBorder="1" applyAlignment="1">
      <alignment horizontal="left" vertical="top"/>
    </xf>
    <xf numFmtId="168" fontId="9" fillId="5" borderId="22" xfId="5" applyNumberFormat="1" applyFont="1" applyFill="1" applyBorder="1" applyAlignment="1" applyProtection="1">
      <alignment horizontal="center"/>
    </xf>
    <xf numFmtId="166" fontId="0" fillId="0" borderId="22" xfId="1" applyNumberFormat="1" applyFont="1" applyBorder="1" applyProtection="1"/>
    <xf numFmtId="0" fontId="7" fillId="9" borderId="70" xfId="5" applyFont="1" applyFill="1" applyBorder="1" applyAlignment="1" applyProtection="1">
      <alignment horizontal="center"/>
    </xf>
    <xf numFmtId="0" fontId="7" fillId="6" borderId="22" xfId="5" applyFont="1" applyFill="1" applyBorder="1" applyAlignment="1" applyProtection="1">
      <alignment horizontal="center"/>
    </xf>
    <xf numFmtId="166" fontId="0" fillId="0" borderId="26" xfId="1" applyNumberFormat="1" applyFont="1" applyBorder="1" applyProtection="1"/>
    <xf numFmtId="0" fontId="7" fillId="9" borderId="22" xfId="5" applyFont="1" applyFill="1" applyBorder="1" applyAlignment="1" applyProtection="1">
      <alignment horizontal="center"/>
    </xf>
    <xf numFmtId="166" fontId="0" fillId="0" borderId="23" xfId="1" applyNumberFormat="1" applyFont="1" applyBorder="1" applyProtection="1"/>
    <xf numFmtId="0" fontId="2" fillId="5" borderId="9" xfId="5" applyFont="1" applyFill="1" applyBorder="1" applyProtection="1"/>
    <xf numFmtId="168" fontId="9" fillId="5" borderId="23" xfId="5" applyNumberFormat="1" applyFont="1" applyFill="1" applyBorder="1" applyAlignment="1" applyProtection="1">
      <alignment horizontal="center"/>
    </xf>
    <xf numFmtId="168" fontId="9" fillId="5" borderId="31" xfId="5" applyNumberFormat="1" applyFont="1" applyFill="1" applyBorder="1" applyAlignment="1" applyProtection="1">
      <alignment horizontal="center"/>
    </xf>
    <xf numFmtId="168" fontId="9" fillId="5" borderId="24" xfId="1" applyNumberFormat="1" applyFont="1" applyFill="1" applyBorder="1" applyAlignment="1" applyProtection="1">
      <alignment horizontal="center"/>
    </xf>
    <xf numFmtId="0" fontId="2" fillId="5" borderId="4" xfId="5" applyFont="1" applyFill="1" applyBorder="1" applyProtection="1"/>
    <xf numFmtId="0" fontId="7" fillId="0" borderId="0" xfId="5" applyFont="1" applyFill="1" applyBorder="1" applyAlignment="1" applyProtection="1">
      <alignment horizontal="center"/>
    </xf>
    <xf numFmtId="166" fontId="0" fillId="0" borderId="22" xfId="1" applyNumberFormat="1" applyFont="1" applyFill="1" applyBorder="1" applyProtection="1">
      <protection locked="0"/>
    </xf>
    <xf numFmtId="166" fontId="0" fillId="0" borderId="26" xfId="1" applyNumberFormat="1" applyFont="1" applyFill="1" applyBorder="1" applyProtection="1">
      <protection locked="0"/>
    </xf>
    <xf numFmtId="0" fontId="3" fillId="8" borderId="15" xfId="5" applyFont="1" applyFill="1" applyBorder="1" applyAlignment="1" applyProtection="1">
      <alignment horizontal="center" wrapText="1"/>
    </xf>
    <xf numFmtId="0" fontId="3" fillId="8" borderId="13" xfId="5" applyFont="1" applyFill="1" applyBorder="1" applyAlignment="1" applyProtection="1">
      <alignment horizontal="center" wrapText="1"/>
    </xf>
    <xf numFmtId="0" fontId="2" fillId="9" borderId="4" xfId="5" applyFont="1" applyFill="1" applyBorder="1" applyProtection="1"/>
    <xf numFmtId="0" fontId="2" fillId="9" borderId="9" xfId="5" applyFont="1" applyFill="1" applyBorder="1" applyProtection="1"/>
    <xf numFmtId="0" fontId="7" fillId="9" borderId="23" xfId="5" applyFont="1" applyFill="1" applyBorder="1" applyAlignment="1" applyProtection="1">
      <alignment horizontal="center"/>
    </xf>
    <xf numFmtId="0" fontId="7" fillId="9" borderId="31" xfId="5" applyFont="1" applyFill="1" applyBorder="1" applyAlignment="1" applyProtection="1">
      <alignment horizontal="center"/>
    </xf>
    <xf numFmtId="166" fontId="7" fillId="9" borderId="24" xfId="1" applyNumberFormat="1" applyFont="1" applyFill="1" applyBorder="1" applyAlignment="1" applyProtection="1">
      <alignment horizontal="center"/>
    </xf>
    <xf numFmtId="0" fontId="3" fillId="2" borderId="4" xfId="3" applyFont="1" applyBorder="1" applyProtection="1"/>
    <xf numFmtId="0" fontId="3" fillId="2" borderId="9" xfId="3" applyFont="1" applyBorder="1" applyProtection="1"/>
    <xf numFmtId="166" fontId="0" fillId="14" borderId="24" xfId="1" applyNumberFormat="1" applyFont="1" applyFill="1" applyBorder="1" applyProtection="1"/>
    <xf numFmtId="0" fontId="2" fillId="9" borderId="1" xfId="5" applyFont="1" applyFill="1" applyBorder="1" applyProtection="1"/>
    <xf numFmtId="0" fontId="2" fillId="9" borderId="8" xfId="5" applyFont="1" applyFill="1" applyBorder="1" applyProtection="1"/>
    <xf numFmtId="166" fontId="7" fillId="9" borderId="73" xfId="1" applyNumberFormat="1" applyFont="1" applyFill="1" applyBorder="1" applyAlignment="1" applyProtection="1">
      <alignment horizontal="center"/>
    </xf>
    <xf numFmtId="0" fontId="2" fillId="6" borderId="4" xfId="5" applyFont="1" applyFill="1" applyBorder="1" applyProtection="1"/>
    <xf numFmtId="0" fontId="2" fillId="6" borderId="9" xfId="5" applyFont="1" applyFill="1" applyBorder="1" applyProtection="1"/>
    <xf numFmtId="166" fontId="7" fillId="6" borderId="43" xfId="1" applyNumberFormat="1" applyFont="1" applyFill="1" applyBorder="1" applyAlignment="1" applyProtection="1">
      <alignment horizontal="center"/>
    </xf>
    <xf numFmtId="0" fontId="3" fillId="2" borderId="6" xfId="3" applyFont="1" applyBorder="1" applyProtection="1"/>
    <xf numFmtId="166" fontId="0" fillId="14" borderId="27" xfId="1" applyNumberFormat="1" applyFont="1" applyFill="1" applyBorder="1" applyProtection="1"/>
    <xf numFmtId="0" fontId="3" fillId="2" borderId="10" xfId="3" applyFont="1" applyBorder="1" applyProtection="1"/>
    <xf numFmtId="0" fontId="3" fillId="2" borderId="1" xfId="3" applyFont="1" applyBorder="1" applyAlignment="1" applyProtection="1">
      <alignment horizontal="center" vertical="center" wrapText="1"/>
    </xf>
    <xf numFmtId="0" fontId="3" fillId="2" borderId="8" xfId="3" applyFont="1" applyBorder="1" applyAlignment="1" applyProtection="1">
      <alignment horizontal="center" vertical="center" wrapText="1"/>
    </xf>
    <xf numFmtId="0" fontId="3" fillId="2" borderId="37" xfId="3" applyFont="1" applyBorder="1" applyAlignment="1" applyProtection="1">
      <alignment horizontal="center" vertical="center" wrapText="1"/>
    </xf>
    <xf numFmtId="0" fontId="3" fillId="2" borderId="55" xfId="3" applyFont="1" applyBorder="1" applyAlignment="1" applyProtection="1">
      <alignment horizontal="center" vertical="center" wrapText="1"/>
    </xf>
    <xf numFmtId="0" fontId="3" fillId="2" borderId="54" xfId="3" applyFont="1" applyBorder="1" applyAlignment="1" applyProtection="1">
      <alignment horizontal="center" vertical="center" wrapText="1"/>
    </xf>
    <xf numFmtId="0" fontId="3" fillId="2" borderId="53" xfId="3" applyFont="1" applyBorder="1" applyAlignment="1" applyProtection="1">
      <alignment horizontal="center" vertical="center" wrapText="1"/>
    </xf>
    <xf numFmtId="166" fontId="0" fillId="16" borderId="23" xfId="1" applyNumberFormat="1" applyFont="1" applyFill="1" applyBorder="1" applyProtection="1">
      <protection locked="0"/>
    </xf>
    <xf numFmtId="164" fontId="5" fillId="0" borderId="22" xfId="1" applyNumberFormat="1" applyFont="1" applyBorder="1" applyAlignment="1" applyProtection="1">
      <alignment horizontal="right" indent="2"/>
      <protection locked="0"/>
    </xf>
    <xf numFmtId="164" fontId="5" fillId="0" borderId="31" xfId="1" applyNumberFormat="1" applyFont="1" applyBorder="1" applyAlignment="1" applyProtection="1">
      <alignment horizontal="right" indent="2"/>
      <protection locked="0"/>
    </xf>
    <xf numFmtId="164" fontId="0" fillId="0" borderId="0" xfId="0" applyNumberFormat="1" applyProtection="1">
      <protection locked="0"/>
    </xf>
    <xf numFmtId="166" fontId="0" fillId="17" borderId="24" xfId="1" applyNumberFormat="1" applyFont="1" applyFill="1" applyBorder="1"/>
    <xf numFmtId="1" fontId="5" fillId="0" borderId="22" xfId="1" applyNumberFormat="1" applyFont="1" applyBorder="1" applyAlignment="1" applyProtection="1">
      <alignment horizontal="center"/>
      <protection locked="0"/>
    </xf>
    <xf numFmtId="1" fontId="5" fillId="0" borderId="23" xfId="1" applyNumberFormat="1" applyFont="1" applyBorder="1" applyAlignment="1" applyProtection="1">
      <alignment horizontal="center"/>
      <protection locked="0"/>
    </xf>
    <xf numFmtId="1" fontId="5" fillId="0" borderId="31" xfId="1" applyNumberFormat="1" applyFont="1" applyBorder="1" applyAlignment="1" applyProtection="1">
      <alignment horizontal="center"/>
      <protection locked="0"/>
    </xf>
    <xf numFmtId="1" fontId="5" fillId="0" borderId="24" xfId="1" applyNumberFormat="1" applyFont="1" applyBorder="1" applyAlignment="1" applyProtection="1">
      <alignment horizontal="center"/>
      <protection locked="0"/>
    </xf>
    <xf numFmtId="1" fontId="0" fillId="0" borderId="22" xfId="1" applyNumberFormat="1" applyFont="1" applyBorder="1" applyAlignment="1" applyProtection="1">
      <alignment horizontal="center"/>
      <protection locked="0"/>
    </xf>
    <xf numFmtId="1" fontId="0" fillId="0" borderId="23" xfId="1" applyNumberFormat="1" applyFont="1" applyBorder="1" applyAlignment="1" applyProtection="1">
      <alignment horizontal="center"/>
      <protection locked="0"/>
    </xf>
    <xf numFmtId="1" fontId="0" fillId="0" borderId="31" xfId="1" applyNumberFormat="1" applyFont="1" applyBorder="1" applyAlignment="1" applyProtection="1">
      <alignment horizontal="center"/>
      <protection locked="0"/>
    </xf>
    <xf numFmtId="1" fontId="0" fillId="0" borderId="24" xfId="1" applyNumberFormat="1" applyFont="1" applyBorder="1" applyAlignment="1" applyProtection="1">
      <alignment horizontal="center"/>
      <protection locked="0"/>
    </xf>
    <xf numFmtId="1" fontId="0" fillId="0" borderId="26" xfId="1" applyNumberFormat="1" applyFont="1" applyBorder="1" applyAlignment="1" applyProtection="1">
      <alignment horizontal="center"/>
      <protection locked="0"/>
    </xf>
    <xf numFmtId="1" fontId="0" fillId="0" borderId="32" xfId="1" applyNumberFormat="1" applyFont="1" applyBorder="1" applyAlignment="1" applyProtection="1">
      <alignment horizontal="center"/>
      <protection locked="0"/>
    </xf>
    <xf numFmtId="1" fontId="0" fillId="0" borderId="27" xfId="1" applyNumberFormat="1" applyFont="1" applyBorder="1" applyAlignment="1" applyProtection="1">
      <alignment horizontal="center"/>
      <protection locked="0"/>
    </xf>
    <xf numFmtId="166" fontId="5" fillId="0" borderId="31" xfId="1" applyNumberFormat="1" applyFont="1" applyBorder="1" applyProtection="1">
      <protection locked="0"/>
    </xf>
    <xf numFmtId="166" fontId="0" fillId="0" borderId="85" xfId="1" applyNumberFormat="1" applyFont="1" applyBorder="1" applyProtection="1">
      <protection locked="0"/>
    </xf>
    <xf numFmtId="0" fontId="28" fillId="13" borderId="64" xfId="6" applyFont="1" applyFill="1" applyBorder="1" applyProtection="1"/>
    <xf numFmtId="0" fontId="27" fillId="13" borderId="62" xfId="0" applyFont="1" applyFill="1" applyBorder="1"/>
    <xf numFmtId="0" fontId="2" fillId="18" borderId="1" xfId="5" applyFont="1" applyFill="1" applyBorder="1"/>
    <xf numFmtId="0" fontId="2" fillId="18" borderId="8" xfId="5" applyFont="1" applyFill="1" applyBorder="1"/>
    <xf numFmtId="0" fontId="7" fillId="18" borderId="22" xfId="5" applyFont="1" applyFill="1" applyBorder="1" applyAlignment="1" applyProtection="1">
      <alignment horizontal="center"/>
    </xf>
    <xf numFmtId="0" fontId="7" fillId="18" borderId="23" xfId="5" applyFont="1" applyFill="1" applyBorder="1" applyAlignment="1" applyProtection="1">
      <alignment horizontal="center"/>
      <protection locked="0"/>
    </xf>
    <xf numFmtId="0" fontId="7" fillId="18" borderId="31" xfId="5" applyFont="1" applyFill="1" applyBorder="1" applyAlignment="1" applyProtection="1">
      <alignment horizontal="center"/>
      <protection locked="0"/>
    </xf>
    <xf numFmtId="166" fontId="7" fillId="18" borderId="24" xfId="1" applyNumberFormat="1" applyFont="1" applyFill="1" applyBorder="1" applyAlignment="1">
      <alignment horizontal="center"/>
    </xf>
    <xf numFmtId="0" fontId="2" fillId="18" borderId="4" xfId="5" applyFont="1" applyFill="1" applyBorder="1"/>
    <xf numFmtId="0" fontId="2" fillId="18" borderId="9" xfId="5" applyFont="1" applyFill="1" applyBorder="1"/>
    <xf numFmtId="0" fontId="7" fillId="18" borderId="22" xfId="5" applyFont="1" applyFill="1" applyBorder="1" applyAlignment="1" applyProtection="1">
      <alignment horizontal="center"/>
      <protection locked="0"/>
    </xf>
    <xf numFmtId="0" fontId="7" fillId="18" borderId="44" xfId="5" applyFont="1" applyFill="1" applyBorder="1" applyAlignment="1" applyProtection="1">
      <alignment horizontal="center"/>
      <protection locked="0"/>
    </xf>
    <xf numFmtId="166" fontId="7" fillId="18" borderId="43" xfId="1" applyNumberFormat="1" applyFont="1" applyFill="1" applyBorder="1" applyAlignment="1">
      <alignment horizontal="center"/>
    </xf>
    <xf numFmtId="0" fontId="2" fillId="18" borderId="9" xfId="5" applyFont="1" applyFill="1" applyBorder="1" applyProtection="1"/>
    <xf numFmtId="168" fontId="9" fillId="18" borderId="22" xfId="5" applyNumberFormat="1" applyFont="1" applyFill="1" applyBorder="1" applyAlignment="1" applyProtection="1">
      <alignment horizontal="center"/>
    </xf>
    <xf numFmtId="168" fontId="9" fillId="18" borderId="23" xfId="5" applyNumberFormat="1" applyFont="1" applyFill="1" applyBorder="1" applyAlignment="1" applyProtection="1">
      <alignment horizontal="center"/>
    </xf>
    <xf numFmtId="168" fontId="9" fillId="18" borderId="24" xfId="1" applyNumberFormat="1" applyFont="1" applyFill="1" applyBorder="1" applyAlignment="1" applyProtection="1">
      <alignment horizontal="center"/>
    </xf>
    <xf numFmtId="0" fontId="3" fillId="18" borderId="4" xfId="3" applyFont="1" applyFill="1" applyBorder="1"/>
    <xf numFmtId="0" fontId="3" fillId="18" borderId="9" xfId="3" applyFont="1" applyFill="1" applyBorder="1"/>
    <xf numFmtId="166" fontId="0" fillId="18" borderId="22" xfId="1" applyNumberFormat="1" applyFont="1" applyFill="1" applyBorder="1" applyProtection="1"/>
    <xf numFmtId="166" fontId="0" fillId="18" borderId="23" xfId="1" applyNumberFormat="1" applyFont="1" applyFill="1" applyBorder="1" applyProtection="1">
      <protection locked="0"/>
    </xf>
    <xf numFmtId="166" fontId="0" fillId="18" borderId="24" xfId="1" applyNumberFormat="1" applyFont="1" applyFill="1" applyBorder="1"/>
    <xf numFmtId="0" fontId="2" fillId="18" borderId="4" xfId="5" applyFont="1" applyFill="1" applyBorder="1" applyProtection="1"/>
    <xf numFmtId="0" fontId="3" fillId="18" borderId="6" xfId="3" applyFont="1" applyFill="1" applyBorder="1"/>
    <xf numFmtId="0" fontId="3" fillId="18" borderId="10" xfId="3" applyFont="1" applyFill="1" applyBorder="1"/>
    <xf numFmtId="166" fontId="0" fillId="18" borderId="25" xfId="1" applyNumberFormat="1" applyFont="1" applyFill="1" applyBorder="1" applyProtection="1"/>
    <xf numFmtId="166" fontId="0" fillId="18" borderId="26" xfId="1" applyNumberFormat="1" applyFont="1" applyFill="1" applyBorder="1" applyProtection="1">
      <protection locked="0"/>
    </xf>
    <xf numFmtId="166" fontId="0" fillId="18" borderId="27" xfId="1" applyNumberFormat="1" applyFont="1" applyFill="1" applyBorder="1"/>
    <xf numFmtId="168" fontId="9" fillId="18" borderId="31" xfId="5" applyNumberFormat="1" applyFont="1" applyFill="1" applyBorder="1" applyAlignment="1" applyProtection="1">
      <alignment horizontal="center"/>
    </xf>
    <xf numFmtId="166" fontId="0" fillId="18" borderId="26" xfId="1" applyNumberFormat="1" applyFont="1" applyFill="1" applyBorder="1" applyProtection="1"/>
    <xf numFmtId="0" fontId="14" fillId="16" borderId="47" xfId="0" applyFont="1" applyFill="1" applyBorder="1" applyAlignment="1">
      <alignment horizontal="center"/>
    </xf>
    <xf numFmtId="0" fontId="35" fillId="0" borderId="47" xfId="0" applyFont="1" applyBorder="1" applyAlignment="1">
      <alignment horizontal="center"/>
    </xf>
    <xf numFmtId="0" fontId="6" fillId="10" borderId="47" xfId="0" applyFont="1" applyFill="1" applyBorder="1" applyAlignment="1">
      <alignment horizontal="center" vertical="center" wrapText="1"/>
    </xf>
    <xf numFmtId="0" fontId="6" fillId="10" borderId="48" xfId="0" applyFont="1" applyFill="1" applyBorder="1" applyAlignment="1">
      <alignment horizontal="center" vertical="center" wrapText="1"/>
    </xf>
    <xf numFmtId="0" fontId="0" fillId="0" borderId="49" xfId="0" applyBorder="1" applyAlignment="1" applyProtection="1">
      <alignment horizontal="left" vertical="top" wrapText="1"/>
      <protection locked="0"/>
    </xf>
    <xf numFmtId="0" fontId="0" fillId="0" borderId="50" xfId="0" applyBorder="1" applyAlignment="1" applyProtection="1">
      <alignment horizontal="left" vertical="top" wrapText="1"/>
      <protection locked="0"/>
    </xf>
    <xf numFmtId="0" fontId="0" fillId="0" borderId="51" xfId="0" applyBorder="1" applyAlignment="1" applyProtection="1">
      <alignment horizontal="left" vertical="top" wrapText="1"/>
      <protection locked="0"/>
    </xf>
    <xf numFmtId="0" fontId="3" fillId="2" borderId="34" xfId="3" applyFont="1" applyBorder="1" applyAlignment="1">
      <alignment horizontal="center" vertical="center" wrapText="1"/>
    </xf>
    <xf numFmtId="166" fontId="3" fillId="2" borderId="13" xfId="1" applyNumberFormat="1" applyFont="1" applyFill="1" applyBorder="1" applyAlignment="1">
      <alignment horizontal="center" vertical="center" wrapText="1"/>
    </xf>
    <xf numFmtId="166" fontId="3" fillId="2" borderId="34" xfId="1" applyNumberFormat="1" applyFont="1" applyFill="1" applyBorder="1" applyAlignment="1">
      <alignment horizontal="center" vertical="center" wrapText="1"/>
    </xf>
    <xf numFmtId="0" fontId="6" fillId="11" borderId="50" xfId="0" applyFont="1" applyFill="1" applyBorder="1" applyAlignment="1">
      <alignment horizontal="center" vertical="center" wrapText="1"/>
    </xf>
    <xf numFmtId="0" fontId="6" fillId="11" borderId="51" xfId="0" applyFont="1" applyFill="1" applyBorder="1" applyAlignment="1">
      <alignment horizontal="center" vertical="center" wrapText="1"/>
    </xf>
    <xf numFmtId="0" fontId="24" fillId="0" borderId="52" xfId="0" applyFont="1" applyBorder="1" applyAlignment="1">
      <alignment horizontal="left" vertical="center" wrapText="1"/>
    </xf>
    <xf numFmtId="0" fontId="3" fillId="2" borderId="33" xfId="3" applyFont="1" applyBorder="1" applyAlignment="1">
      <alignment horizontal="center" vertical="center" wrapText="1"/>
    </xf>
    <xf numFmtId="0" fontId="3" fillId="2" borderId="1" xfId="3" applyFont="1" applyBorder="1" applyAlignment="1">
      <alignment horizontal="center" vertical="center" wrapText="1"/>
    </xf>
    <xf numFmtId="0" fontId="3" fillId="2" borderId="8" xfId="3" applyFont="1" applyBorder="1" applyAlignment="1">
      <alignment horizontal="center" vertical="center" wrapText="1"/>
    </xf>
    <xf numFmtId="0" fontId="3" fillId="2" borderId="4" xfId="3" applyFont="1" applyBorder="1" applyAlignment="1">
      <alignment horizontal="center" vertical="center" wrapText="1"/>
    </xf>
    <xf numFmtId="0" fontId="3" fillId="2" borderId="9" xfId="3" applyFont="1" applyBorder="1" applyAlignment="1">
      <alignment horizontal="center" vertical="center" wrapText="1"/>
    </xf>
    <xf numFmtId="0" fontId="3" fillId="2" borderId="37" xfId="3" applyFont="1" applyBorder="1" applyAlignment="1">
      <alignment horizontal="center" vertical="center" wrapText="1"/>
    </xf>
    <xf numFmtId="0" fontId="3" fillId="2" borderId="36" xfId="3" applyFont="1" applyBorder="1" applyAlignment="1">
      <alignment horizontal="center" vertical="center" wrapText="1"/>
    </xf>
    <xf numFmtId="0" fontId="3" fillId="2" borderId="14" xfId="3" applyFont="1" applyBorder="1" applyAlignment="1">
      <alignment horizontal="center" vertical="center" wrapText="1"/>
    </xf>
    <xf numFmtId="0" fontId="3" fillId="2" borderId="55" xfId="3" applyFont="1" applyBorder="1" applyAlignment="1">
      <alignment horizontal="center" vertical="center" wrapText="1"/>
    </xf>
    <xf numFmtId="0" fontId="3" fillId="2" borderId="54" xfId="3" applyFont="1" applyBorder="1" applyAlignment="1">
      <alignment horizontal="center" vertical="center" wrapText="1"/>
    </xf>
    <xf numFmtId="0" fontId="3" fillId="2" borderId="53" xfId="3" applyFont="1" applyBorder="1" applyAlignment="1">
      <alignment horizontal="center" vertical="center" wrapText="1"/>
    </xf>
    <xf numFmtId="0" fontId="3" fillId="2" borderId="38" xfId="3" applyFont="1" applyBorder="1" applyAlignment="1">
      <alignment horizontal="center" vertical="center" wrapText="1"/>
    </xf>
    <xf numFmtId="0" fontId="3" fillId="2" borderId="39" xfId="3" applyFont="1" applyBorder="1" applyAlignment="1">
      <alignment horizontal="center" vertical="center" wrapText="1"/>
    </xf>
    <xf numFmtId="166" fontId="3" fillId="2" borderId="20" xfId="1" applyNumberFormat="1" applyFont="1" applyFill="1" applyBorder="1" applyAlignment="1">
      <alignment horizontal="center" vertical="center" wrapText="1"/>
    </xf>
    <xf numFmtId="166" fontId="3" fillId="2" borderId="35" xfId="1" applyNumberFormat="1" applyFont="1" applyFill="1" applyBorder="1" applyAlignment="1">
      <alignment horizontal="center" vertical="center" wrapText="1"/>
    </xf>
    <xf numFmtId="0" fontId="27" fillId="13" borderId="56" xfId="0" applyFont="1" applyFill="1" applyBorder="1" applyAlignment="1">
      <alignment horizontal="left" wrapText="1"/>
    </xf>
    <xf numFmtId="0" fontId="27" fillId="13" borderId="57" xfId="0" applyFont="1" applyFill="1" applyBorder="1" applyAlignment="1">
      <alignment horizontal="left" wrapText="1"/>
    </xf>
    <xf numFmtId="0" fontId="27" fillId="13" borderId="58" xfId="0" applyFont="1" applyFill="1" applyBorder="1" applyAlignment="1">
      <alignment horizontal="left" wrapText="1"/>
    </xf>
    <xf numFmtId="0" fontId="27" fillId="13" borderId="59" xfId="0" applyFont="1" applyFill="1" applyBorder="1" applyAlignment="1">
      <alignment horizontal="left" wrapText="1"/>
    </xf>
    <xf numFmtId="0" fontId="27" fillId="13" borderId="0" xfId="0" applyFont="1" applyFill="1" applyAlignment="1">
      <alignment horizontal="left" wrapText="1"/>
    </xf>
    <xf numFmtId="0" fontId="27" fillId="13" borderId="60" xfId="0" applyFont="1" applyFill="1" applyBorder="1" applyAlignment="1">
      <alignment horizontal="left" wrapText="1"/>
    </xf>
    <xf numFmtId="0" fontId="27" fillId="13" borderId="61" xfId="0" applyFont="1" applyFill="1" applyBorder="1" applyAlignment="1">
      <alignment horizontal="left" wrapText="1"/>
    </xf>
    <xf numFmtId="0" fontId="27" fillId="13" borderId="62" xfId="0" applyFont="1" applyFill="1" applyBorder="1" applyAlignment="1">
      <alignment horizontal="left" wrapText="1"/>
    </xf>
    <xf numFmtId="0" fontId="27" fillId="13" borderId="63" xfId="0" applyFont="1" applyFill="1" applyBorder="1" applyAlignment="1">
      <alignment horizontal="left" wrapText="1"/>
    </xf>
    <xf numFmtId="0" fontId="33" fillId="0" borderId="0" xfId="7"/>
    <xf numFmtId="0" fontId="0" fillId="0" borderId="0" xfId="0" applyAlignment="1">
      <alignment horizontal="left" vertical="top" wrapText="1"/>
    </xf>
    <xf numFmtId="0" fontId="0" fillId="0" borderId="0" xfId="0" applyAlignment="1">
      <alignment vertical="top" wrapText="1"/>
    </xf>
    <xf numFmtId="0" fontId="6" fillId="11" borderId="50" xfId="0" applyFont="1" applyFill="1" applyBorder="1" applyAlignment="1">
      <alignment horizontal="center" wrapText="1"/>
    </xf>
    <xf numFmtId="0" fontId="3" fillId="2" borderId="18" xfId="3" applyFont="1" applyBorder="1" applyAlignment="1">
      <alignment horizontal="center" vertical="center" wrapText="1"/>
    </xf>
    <xf numFmtId="0" fontId="6" fillId="8" borderId="38" xfId="5" applyFill="1" applyBorder="1" applyAlignment="1">
      <alignment horizontal="center" vertical="center" wrapText="1"/>
    </xf>
    <xf numFmtId="0" fontId="6" fillId="8" borderId="77" xfId="5" applyFill="1" applyBorder="1" applyAlignment="1">
      <alignment horizontal="center" vertical="center" wrapText="1"/>
    </xf>
    <xf numFmtId="0" fontId="6" fillId="8" borderId="39" xfId="5" applyFill="1" applyBorder="1" applyAlignment="1">
      <alignment horizontal="center" vertical="center" wrapText="1"/>
    </xf>
    <xf numFmtId="0" fontId="3" fillId="2" borderId="1" xfId="3" applyFont="1" applyBorder="1" applyAlignment="1">
      <alignment horizontal="left" vertical="center" wrapText="1"/>
    </xf>
    <xf numFmtId="0" fontId="3" fillId="2" borderId="8" xfId="3" applyFont="1" applyBorder="1" applyAlignment="1">
      <alignment horizontal="left" vertical="center" wrapText="1"/>
    </xf>
    <xf numFmtId="0" fontId="3" fillId="2" borderId="4" xfId="3" applyFont="1" applyBorder="1" applyAlignment="1">
      <alignment horizontal="left" vertical="center" wrapText="1"/>
    </xf>
    <xf numFmtId="0" fontId="3" fillId="2" borderId="9" xfId="3" applyFont="1" applyBorder="1" applyAlignment="1">
      <alignment horizontal="left" vertical="center" wrapText="1"/>
    </xf>
    <xf numFmtId="0" fontId="6" fillId="2" borderId="20" xfId="3" applyBorder="1" applyAlignment="1">
      <alignment horizontal="center" vertical="center" wrapText="1"/>
    </xf>
    <xf numFmtId="0" fontId="6" fillId="2" borderId="35" xfId="3" applyBorder="1" applyAlignment="1">
      <alignment horizontal="center" vertical="center" wrapText="1"/>
    </xf>
    <xf numFmtId="0" fontId="6" fillId="8" borderId="13" xfId="5" applyFill="1" applyBorder="1" applyAlignment="1">
      <alignment horizontal="center" vertical="center" wrapText="1"/>
    </xf>
    <xf numFmtId="0" fontId="6" fillId="8" borderId="34" xfId="5" applyFill="1" applyBorder="1" applyAlignment="1">
      <alignment horizontal="center" vertical="center" wrapText="1"/>
    </xf>
    <xf numFmtId="0" fontId="3" fillId="2" borderId="17" xfId="3" applyFont="1" applyBorder="1" applyAlignment="1">
      <alignment horizontal="center" vertical="center" wrapText="1"/>
    </xf>
    <xf numFmtId="0" fontId="3" fillId="2" borderId="45" xfId="3" applyFont="1" applyBorder="1" applyAlignment="1">
      <alignment horizontal="center" vertical="center" wrapText="1"/>
    </xf>
    <xf numFmtId="0" fontId="3" fillId="2" borderId="15" xfId="3" applyFont="1" applyBorder="1" applyAlignment="1">
      <alignment horizontal="center" vertical="center" wrapText="1"/>
    </xf>
    <xf numFmtId="0" fontId="3" fillId="2" borderId="40" xfId="3" applyFont="1" applyBorder="1" applyAlignment="1">
      <alignment horizontal="center" vertical="center" wrapText="1"/>
    </xf>
    <xf numFmtId="0" fontId="3" fillId="2" borderId="41" xfId="3" applyFont="1" applyBorder="1" applyAlignment="1">
      <alignment horizontal="center" vertical="center" wrapText="1"/>
    </xf>
    <xf numFmtId="0" fontId="3" fillId="2" borderId="42" xfId="3" applyFont="1" applyBorder="1" applyAlignment="1">
      <alignment horizontal="center" vertical="center" wrapText="1"/>
    </xf>
    <xf numFmtId="0" fontId="3" fillId="2" borderId="11" xfId="3" applyFont="1" applyBorder="1" applyAlignment="1">
      <alignment horizontal="center" vertical="center"/>
    </xf>
    <xf numFmtId="0" fontId="3" fillId="2" borderId="2" xfId="3" applyFont="1" applyBorder="1" applyAlignment="1">
      <alignment horizontal="center" vertical="center"/>
    </xf>
    <xf numFmtId="0" fontId="3" fillId="2" borderId="3" xfId="3" applyFont="1" applyBorder="1" applyAlignment="1">
      <alignment horizontal="center" vertical="center"/>
    </xf>
    <xf numFmtId="0" fontId="3" fillId="2" borderId="44" xfId="3" applyFont="1" applyBorder="1" applyAlignment="1">
      <alignment horizontal="center" vertical="center"/>
    </xf>
    <xf numFmtId="0" fontId="3" fillId="2" borderId="0" xfId="3" applyFont="1" applyBorder="1" applyAlignment="1">
      <alignment horizontal="center" vertical="center"/>
    </xf>
    <xf numFmtId="0" fontId="3" fillId="2" borderId="5" xfId="3" applyFont="1" applyBorder="1" applyAlignment="1">
      <alignment horizontal="center" vertical="center"/>
    </xf>
    <xf numFmtId="0" fontId="3" fillId="2" borderId="19" xfId="3" applyFont="1" applyBorder="1" applyAlignment="1">
      <alignment horizontal="center" vertical="center" wrapText="1"/>
    </xf>
    <xf numFmtId="166" fontId="3" fillId="2" borderId="13" xfId="1" applyNumberFormat="1" applyFont="1" applyFill="1" applyBorder="1" applyAlignment="1" applyProtection="1">
      <alignment horizontal="center" vertical="center" wrapText="1"/>
    </xf>
    <xf numFmtId="166" fontId="3" fillId="2" borderId="34" xfId="1" applyNumberFormat="1" applyFont="1" applyFill="1" applyBorder="1" applyAlignment="1" applyProtection="1">
      <alignment horizontal="center" vertical="center" wrapText="1"/>
    </xf>
    <xf numFmtId="166" fontId="3" fillId="2" borderId="78" xfId="1" applyNumberFormat="1" applyFont="1" applyFill="1" applyBorder="1" applyAlignment="1" applyProtection="1">
      <alignment horizontal="center" vertical="center" wrapText="1"/>
    </xf>
    <xf numFmtId="166" fontId="3" fillId="2" borderId="5" xfId="1" applyNumberFormat="1" applyFont="1" applyFill="1" applyBorder="1" applyAlignment="1" applyProtection="1">
      <alignment horizontal="center" vertical="center" wrapText="1"/>
    </xf>
    <xf numFmtId="0" fontId="3" fillId="2" borderId="34" xfId="3" applyFont="1" applyBorder="1" applyAlignment="1" applyProtection="1">
      <alignment horizontal="center" vertical="center" wrapText="1"/>
    </xf>
    <xf numFmtId="166" fontId="3" fillId="2" borderId="78" xfId="1" applyNumberFormat="1" applyFont="1" applyFill="1" applyBorder="1" applyAlignment="1">
      <alignment horizontal="center" vertical="center" wrapText="1"/>
    </xf>
    <xf numFmtId="166" fontId="3" fillId="2" borderId="5" xfId="1" applyNumberFormat="1" applyFont="1" applyFill="1" applyBorder="1" applyAlignment="1">
      <alignment horizontal="center" vertical="center" wrapText="1"/>
    </xf>
    <xf numFmtId="0" fontId="3" fillId="2" borderId="33" xfId="3" applyFont="1" applyBorder="1" applyAlignment="1" applyProtection="1">
      <alignment horizontal="center" vertical="center" wrapText="1"/>
    </xf>
    <xf numFmtId="0" fontId="3" fillId="2" borderId="38" xfId="3" applyFont="1" applyBorder="1" applyAlignment="1" applyProtection="1">
      <alignment horizontal="center" vertical="center" wrapText="1"/>
    </xf>
    <xf numFmtId="0" fontId="3" fillId="2" borderId="39" xfId="3" applyFont="1" applyBorder="1" applyAlignment="1" applyProtection="1">
      <alignment horizontal="center" vertical="center" wrapText="1"/>
    </xf>
    <xf numFmtId="0" fontId="3" fillId="2" borderId="55" xfId="3" applyFont="1" applyBorder="1" applyAlignment="1" applyProtection="1">
      <alignment horizontal="center" vertical="center" wrapText="1"/>
    </xf>
    <xf numFmtId="0" fontId="3" fillId="2" borderId="54" xfId="3" applyFont="1" applyBorder="1" applyAlignment="1" applyProtection="1">
      <alignment horizontal="center" vertical="center" wrapText="1"/>
    </xf>
    <xf numFmtId="0" fontId="3" fillId="2" borderId="53" xfId="3" applyFont="1" applyBorder="1" applyAlignment="1" applyProtection="1">
      <alignment horizontal="center" vertical="center" wrapText="1"/>
    </xf>
    <xf numFmtId="0" fontId="3" fillId="2" borderId="1" xfId="3" applyFont="1" applyBorder="1" applyAlignment="1" applyProtection="1">
      <alignment horizontal="center" vertical="center" wrapText="1"/>
    </xf>
    <xf numFmtId="0" fontId="3" fillId="2" borderId="8" xfId="3" applyFont="1" applyBorder="1" applyAlignment="1" applyProtection="1">
      <alignment horizontal="center" vertical="center" wrapText="1"/>
    </xf>
    <xf numFmtId="0" fontId="3" fillId="2" borderId="4" xfId="3" applyFont="1" applyBorder="1" applyAlignment="1" applyProtection="1">
      <alignment horizontal="center" vertical="center" wrapText="1"/>
    </xf>
    <xf numFmtId="0" fontId="3" fillId="2" borderId="9" xfId="3" applyFont="1" applyBorder="1" applyAlignment="1" applyProtection="1">
      <alignment horizontal="center" vertical="center" wrapText="1"/>
    </xf>
    <xf numFmtId="0" fontId="3" fillId="2" borderId="37" xfId="3" applyFont="1" applyBorder="1" applyAlignment="1" applyProtection="1">
      <alignment horizontal="center" vertical="center" wrapText="1"/>
    </xf>
    <xf numFmtId="0" fontId="3" fillId="2" borderId="36" xfId="3" applyFont="1" applyBorder="1" applyAlignment="1" applyProtection="1">
      <alignment horizontal="center" vertical="center" wrapText="1"/>
    </xf>
    <xf numFmtId="0" fontId="3" fillId="2" borderId="14" xfId="3" applyFont="1" applyBorder="1" applyAlignment="1" applyProtection="1">
      <alignment horizontal="center" vertical="center" wrapText="1"/>
    </xf>
    <xf numFmtId="0" fontId="0" fillId="3" borderId="0" xfId="4" applyFont="1" applyAlignment="1">
      <alignment horizontal="left" vertical="top" wrapText="1"/>
    </xf>
    <xf numFmtId="0" fontId="3" fillId="2" borderId="17" xfId="3" applyFont="1" applyBorder="1" applyAlignment="1">
      <alignment horizontal="center" vertical="top"/>
    </xf>
    <xf numFmtId="0" fontId="3" fillId="2" borderId="18" xfId="3" applyFont="1" applyBorder="1" applyAlignment="1">
      <alignment horizontal="center" vertical="top"/>
    </xf>
    <xf numFmtId="0" fontId="3" fillId="2" borderId="28" xfId="3" applyFont="1" applyBorder="1" applyAlignment="1">
      <alignment horizontal="center" vertical="top"/>
    </xf>
    <xf numFmtId="0" fontId="3" fillId="2" borderId="19" xfId="3" applyFont="1" applyBorder="1" applyAlignment="1">
      <alignment horizontal="center" vertical="top"/>
    </xf>
    <xf numFmtId="0" fontId="0" fillId="3" borderId="0" xfId="4" applyFont="1" applyAlignment="1">
      <alignment vertical="top" wrapText="1"/>
    </xf>
    <xf numFmtId="0" fontId="3" fillId="2" borderId="1" xfId="3" applyFont="1" applyBorder="1" applyAlignment="1">
      <alignment horizontal="center" vertical="top" wrapText="1"/>
    </xf>
    <xf numFmtId="0" fontId="3" fillId="2" borderId="2" xfId="3" applyFont="1" applyBorder="1" applyAlignment="1">
      <alignment horizontal="center" vertical="top" wrapText="1"/>
    </xf>
    <xf numFmtId="0" fontId="3" fillId="2" borderId="4" xfId="3" applyFont="1" applyBorder="1" applyAlignment="1">
      <alignment horizontal="center" vertical="top" wrapText="1"/>
    </xf>
    <xf numFmtId="0" fontId="3" fillId="2" borderId="0" xfId="3" applyFont="1" applyBorder="1" applyAlignment="1">
      <alignment horizontal="center" vertical="top" wrapText="1"/>
    </xf>
    <xf numFmtId="0" fontId="3" fillId="2" borderId="21" xfId="3" applyFont="1" applyBorder="1" applyAlignment="1">
      <alignment horizontal="center" vertical="top"/>
    </xf>
    <xf numFmtId="0" fontId="3" fillId="2" borderId="8" xfId="3" applyFont="1" applyBorder="1" applyAlignment="1">
      <alignment horizontal="center" vertical="top" wrapText="1"/>
    </xf>
    <xf numFmtId="0" fontId="3" fillId="2" borderId="9" xfId="3" applyFont="1" applyBorder="1" applyAlignment="1">
      <alignment horizontal="center" vertical="top" wrapText="1"/>
    </xf>
  </cellXfs>
  <cellStyles count="8">
    <cellStyle name="20% - Accent1" xfId="4" builtinId="30"/>
    <cellStyle name="60% - Accent5" xfId="5" builtinId="48"/>
    <cellStyle name="Accent1" xfId="3" builtinId="29"/>
    <cellStyle name="Bad" xfId="6" builtinId="27"/>
    <cellStyle name="Comma" xfId="1" builtinId="3"/>
    <cellStyle name="Hyperlink" xfId="7" builtinId="8"/>
    <cellStyle name="Normal" xfId="0" builtinId="0"/>
    <cellStyle name="Per cent" xfId="2" builtinId="5"/>
  </cellStyles>
  <dxfs count="13">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s>
  <tableStyles count="0" defaultTableStyle="TableStyleMedium2" defaultPivotStyle="PivotStyleLight16"/>
  <colors>
    <mruColors>
      <color rgb="FFDAEEF3"/>
      <color rgb="FFF8EBC8"/>
      <color rgb="FFF6E6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27"/>
  <sheetViews>
    <sheetView workbookViewId="0"/>
  </sheetViews>
  <sheetFormatPr baseColWidth="10" defaultColWidth="9.1640625" defaultRowHeight="15" x14ac:dyDescent="0.2"/>
  <cols>
    <col min="1" max="1" width="4.83203125" customWidth="1"/>
    <col min="2" max="2" width="13.1640625" customWidth="1"/>
  </cols>
  <sheetData>
    <row r="1" spans="1:3" s="11" customFormat="1" ht="19" x14ac:dyDescent="0.25">
      <c r="A1" s="12" t="s">
        <v>211</v>
      </c>
    </row>
    <row r="3" spans="1:3" x14ac:dyDescent="0.2">
      <c r="A3" s="26" t="s">
        <v>48</v>
      </c>
    </row>
    <row r="4" spans="1:3" x14ac:dyDescent="0.2">
      <c r="A4" t="s">
        <v>49</v>
      </c>
    </row>
    <row r="5" spans="1:3" x14ac:dyDescent="0.2">
      <c r="B5" t="s">
        <v>50</v>
      </c>
      <c r="C5" t="s">
        <v>55</v>
      </c>
    </row>
    <row r="6" spans="1:3" x14ac:dyDescent="0.2">
      <c r="B6" t="s">
        <v>0</v>
      </c>
      <c r="C6" t="s">
        <v>56</v>
      </c>
    </row>
    <row r="7" spans="1:3" x14ac:dyDescent="0.2">
      <c r="B7" t="s">
        <v>215</v>
      </c>
      <c r="C7" t="s">
        <v>233</v>
      </c>
    </row>
    <row r="8" spans="1:3" x14ac:dyDescent="0.2">
      <c r="B8" t="s">
        <v>51</v>
      </c>
      <c r="C8" t="s">
        <v>175</v>
      </c>
    </row>
    <row r="9" spans="1:3" x14ac:dyDescent="0.2">
      <c r="B9" t="s">
        <v>14</v>
      </c>
      <c r="C9" t="s">
        <v>176</v>
      </c>
    </row>
    <row r="10" spans="1:3" x14ac:dyDescent="0.2">
      <c r="B10" t="s">
        <v>52</v>
      </c>
      <c r="C10" t="s">
        <v>177</v>
      </c>
    </row>
    <row r="11" spans="1:3" x14ac:dyDescent="0.2">
      <c r="B11" t="s">
        <v>224</v>
      </c>
      <c r="C11" t="s">
        <v>178</v>
      </c>
    </row>
    <row r="12" spans="1:3" x14ac:dyDescent="0.2">
      <c r="B12" t="s">
        <v>225</v>
      </c>
      <c r="C12" t="s">
        <v>226</v>
      </c>
    </row>
    <row r="13" spans="1:3" x14ac:dyDescent="0.2">
      <c r="B13" t="s">
        <v>231</v>
      </c>
      <c r="C13" t="s">
        <v>232</v>
      </c>
    </row>
    <row r="14" spans="1:3" x14ac:dyDescent="0.2">
      <c r="B14" t="s">
        <v>53</v>
      </c>
      <c r="C14" t="s">
        <v>195</v>
      </c>
    </row>
    <row r="15" spans="1:3" x14ac:dyDescent="0.2">
      <c r="B15" t="s">
        <v>54</v>
      </c>
      <c r="C15" t="s">
        <v>210</v>
      </c>
    </row>
    <row r="16" spans="1:3" x14ac:dyDescent="0.2">
      <c r="B16" t="s">
        <v>58</v>
      </c>
      <c r="C16" t="s">
        <v>283</v>
      </c>
    </row>
    <row r="18" spans="1:6" x14ac:dyDescent="0.2">
      <c r="A18" s="26" t="s">
        <v>57</v>
      </c>
    </row>
    <row r="19" spans="1:6" x14ac:dyDescent="0.2">
      <c r="A19" t="s">
        <v>156</v>
      </c>
    </row>
    <row r="20" spans="1:6" x14ac:dyDescent="0.2">
      <c r="A20" s="76" t="s">
        <v>209</v>
      </c>
    </row>
    <row r="21" spans="1:6" x14ac:dyDescent="0.2">
      <c r="A21" t="s">
        <v>188</v>
      </c>
    </row>
    <row r="22" spans="1:6" x14ac:dyDescent="0.2">
      <c r="A22" t="s">
        <v>219</v>
      </c>
    </row>
    <row r="23" spans="1:6" x14ac:dyDescent="0.2">
      <c r="A23" t="s">
        <v>220</v>
      </c>
    </row>
    <row r="25" spans="1:6" x14ac:dyDescent="0.2">
      <c r="A25" s="26"/>
    </row>
    <row r="26" spans="1:6" x14ac:dyDescent="0.2">
      <c r="A26" s="297"/>
      <c r="B26" s="297"/>
      <c r="C26" s="297"/>
      <c r="D26" s="297"/>
      <c r="E26" s="297"/>
      <c r="F26" s="297"/>
    </row>
    <row r="27" spans="1:6" x14ac:dyDescent="0.2">
      <c r="A27" s="297"/>
      <c r="B27" s="297"/>
      <c r="C27" s="297"/>
    </row>
  </sheetData>
  <sheetProtection algorithmName="SHA-512" hashValue="uWyzXIgmwVdb86Q5o18c0hNqF7/hVf2iybWY+0Xyolpyr6Zrz4WRTyxpdtjxYwqne9gVoYHgGv8CSKQ/AasQWQ==" saltValue="TSO8U1zyD1XsV1T/o5LvuA==" spinCount="100000" sheet="1" objects="1" scenarios="1" formatCells="0" formatColumns="0"/>
  <mergeCells count="2">
    <mergeCell ref="A27:C27"/>
    <mergeCell ref="A26:F26"/>
  </mergeCells>
  <pageMargins left="0.23622047244094491" right="0.23622047244094491" top="0.74803149606299213" bottom="0.74803149606299213" header="0.31496062992125984" footer="0.31496062992125984"/>
  <pageSetup paperSize="9" orientation="landscape" r:id="rId1"/>
  <headerFooter>
    <oddFooter>&amp;LYG monitoring (pilot)&amp;R&amp;A\&amp;P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BC33D-7F28-4EDA-981A-8EDA9D116FF0}">
  <sheetPr codeName="Sheet11"/>
  <dimension ref="A1:X2"/>
  <sheetViews>
    <sheetView workbookViewId="0">
      <selection activeCell="X2" sqref="X2"/>
    </sheetView>
  </sheetViews>
  <sheetFormatPr baseColWidth="10" defaultColWidth="8.83203125" defaultRowHeight="15" x14ac:dyDescent="0.2"/>
  <sheetData>
    <row r="1" spans="1:24" x14ac:dyDescent="0.2">
      <c r="A1" t="s">
        <v>59</v>
      </c>
      <c r="B1" t="s">
        <v>262</v>
      </c>
      <c r="C1" t="s">
        <v>87</v>
      </c>
      <c r="D1" t="s">
        <v>263</v>
      </c>
      <c r="E1" t="s">
        <v>264</v>
      </c>
      <c r="F1" t="s">
        <v>265</v>
      </c>
      <c r="G1" t="s">
        <v>266</v>
      </c>
      <c r="H1" t="s">
        <v>267</v>
      </c>
      <c r="I1" t="s">
        <v>268</v>
      </c>
      <c r="J1" t="s">
        <v>269</v>
      </c>
      <c r="K1" t="s">
        <v>270</v>
      </c>
      <c r="L1" t="s">
        <v>271</v>
      </c>
      <c r="M1" t="s">
        <v>272</v>
      </c>
      <c r="N1" t="s">
        <v>273</v>
      </c>
      <c r="O1" t="s">
        <v>274</v>
      </c>
      <c r="P1" t="s">
        <v>275</v>
      </c>
      <c r="Q1" t="s">
        <v>276</v>
      </c>
      <c r="R1" t="s">
        <v>277</v>
      </c>
      <c r="S1" t="s">
        <v>278</v>
      </c>
      <c r="T1" t="s">
        <v>279</v>
      </c>
      <c r="U1" t="s">
        <v>280</v>
      </c>
      <c r="V1" t="s">
        <v>281</v>
      </c>
      <c r="W1" t="s">
        <v>218</v>
      </c>
      <c r="X1" t="s">
        <v>282</v>
      </c>
    </row>
    <row r="2" spans="1:24" x14ac:dyDescent="0.2">
      <c r="A2" t="e">
        <f>Metadata_Q1</f>
        <v>#REF!</v>
      </c>
      <c r="B2" t="e">
        <f>Metadata_Q2i</f>
        <v>#REF!</v>
      </c>
      <c r="C2" t="e">
        <f>Metadata_Q2ii</f>
        <v>#REF!</v>
      </c>
      <c r="D2" t="e">
        <f>Metadata_Q2iii</f>
        <v>#REF!</v>
      </c>
      <c r="E2" t="e">
        <f>Metadata_Q3i</f>
        <v>#REF!</v>
      </c>
      <c r="F2" t="e">
        <f>Metadata_Q3ii</f>
        <v>#REF!</v>
      </c>
      <c r="G2" t="e">
        <f>Metadata_Q4ia</f>
        <v>#REF!</v>
      </c>
      <c r="H2" t="e">
        <f>Metadata_Q4iia</f>
        <v>#REF!</v>
      </c>
      <c r="I2" t="e">
        <f>Metadata_Q4iiia</f>
        <v>#REF!</v>
      </c>
      <c r="J2" t="e">
        <f>Metadata_Q4iva</f>
        <v>#REF!</v>
      </c>
      <c r="K2" t="e">
        <f>Metadata_Q5</f>
        <v>#REF!</v>
      </c>
      <c r="L2" t="e">
        <f>Metadata_Q6i</f>
        <v>#REF!</v>
      </c>
      <c r="M2" t="e">
        <f>Metadata_Q6ii</f>
        <v>#REF!</v>
      </c>
      <c r="N2" t="e">
        <f>Metadata_Q6iii</f>
        <v>#REF!</v>
      </c>
      <c r="O2" t="e">
        <f>Metadata_Q6iiia</f>
        <v>#REF!</v>
      </c>
      <c r="P2" t="e">
        <f>Metadata_Q6iiib</f>
        <v>#REF!</v>
      </c>
      <c r="Q2" t="e">
        <f>Metadata_Q6iiic</f>
        <v>#REF!</v>
      </c>
      <c r="R2" t="e">
        <f>Metadata_Q6iv</f>
        <v>#REF!</v>
      </c>
      <c r="S2" t="e">
        <f>Metadata_Q6v</f>
        <v>#REF!</v>
      </c>
      <c r="T2" t="e">
        <f>Metadata_Q6vi</f>
        <v>#REF!</v>
      </c>
      <c r="U2" t="e">
        <f>Metadata_Q6via</f>
        <v>#REF!</v>
      </c>
      <c r="V2" t="e">
        <f>Metadata_Q6vib</f>
        <v>#REF!</v>
      </c>
      <c r="W2" t="e">
        <f>Metadata_Q6vii</f>
        <v>#REF!</v>
      </c>
      <c r="X2" t="e">
        <f>Metadata_Q7</f>
        <v>#REF!</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24599-D19D-4FAE-B2A6-6ED3AC6472E1}">
  <sheetPr codeName="Sheet12"/>
  <dimension ref="A1:Y26"/>
  <sheetViews>
    <sheetView workbookViewId="0">
      <selection activeCell="C6" sqref="C6:AF6"/>
    </sheetView>
  </sheetViews>
  <sheetFormatPr baseColWidth="10" defaultColWidth="8.83203125" defaultRowHeight="15" x14ac:dyDescent="0.2"/>
  <sheetData>
    <row r="1" spans="1:25" x14ac:dyDescent="0.2">
      <c r="A1" t="s">
        <v>59</v>
      </c>
      <c r="B1" t="s">
        <v>575</v>
      </c>
      <c r="C1" t="s">
        <v>262</v>
      </c>
      <c r="D1" t="s">
        <v>87</v>
      </c>
      <c r="E1" t="s">
        <v>263</v>
      </c>
      <c r="F1" t="s">
        <v>264</v>
      </c>
      <c r="G1" t="s">
        <v>265</v>
      </c>
      <c r="H1" t="s">
        <v>266</v>
      </c>
      <c r="I1" t="s">
        <v>267</v>
      </c>
      <c r="J1" t="s">
        <v>268</v>
      </c>
      <c r="K1" t="s">
        <v>269</v>
      </c>
      <c r="L1" t="s">
        <v>270</v>
      </c>
      <c r="M1" t="s">
        <v>271</v>
      </c>
      <c r="N1" t="s">
        <v>272</v>
      </c>
      <c r="O1" t="s">
        <v>273</v>
      </c>
      <c r="P1" t="s">
        <v>274</v>
      </c>
      <c r="Q1" t="s">
        <v>275</v>
      </c>
      <c r="R1" t="s">
        <v>276</v>
      </c>
      <c r="S1" t="s">
        <v>277</v>
      </c>
      <c r="T1" t="s">
        <v>278</v>
      </c>
      <c r="U1" t="s">
        <v>279</v>
      </c>
      <c r="V1" t="s">
        <v>280</v>
      </c>
      <c r="W1" t="s">
        <v>281</v>
      </c>
      <c r="X1" t="s">
        <v>218</v>
      </c>
      <c r="Y1" t="s">
        <v>282</v>
      </c>
    </row>
    <row r="2" spans="1:25" x14ac:dyDescent="0.2">
      <c r="A2" t="str">
        <f>VLOOKUP(B2,Refs!$B$2:$C$29,2,FALSE)</f>
        <v>Czechia</v>
      </c>
      <c r="B2" t="s">
        <v>236</v>
      </c>
      <c r="C2" t="s">
        <v>284</v>
      </c>
      <c r="D2" t="s">
        <v>285</v>
      </c>
      <c r="E2" t="s">
        <v>286</v>
      </c>
      <c r="F2" t="s">
        <v>287</v>
      </c>
      <c r="G2" t="s">
        <v>288</v>
      </c>
      <c r="H2">
        <v>2020</v>
      </c>
      <c r="I2" t="s">
        <v>174</v>
      </c>
      <c r="J2" t="s">
        <v>174</v>
      </c>
      <c r="K2" t="s">
        <v>174</v>
      </c>
      <c r="L2">
        <v>0</v>
      </c>
      <c r="M2" t="s">
        <v>289</v>
      </c>
      <c r="N2" t="s">
        <v>290</v>
      </c>
      <c r="O2" t="s">
        <v>291</v>
      </c>
      <c r="P2" t="s">
        <v>292</v>
      </c>
      <c r="Q2" t="s">
        <v>293</v>
      </c>
      <c r="R2" t="s">
        <v>109</v>
      </c>
      <c r="S2" t="s">
        <v>294</v>
      </c>
      <c r="T2" t="s">
        <v>294</v>
      </c>
      <c r="U2" t="s">
        <v>294</v>
      </c>
      <c r="V2" t="s">
        <v>221</v>
      </c>
      <c r="W2" t="s">
        <v>221</v>
      </c>
      <c r="X2">
        <v>0</v>
      </c>
      <c r="Y2">
        <v>0</v>
      </c>
    </row>
    <row r="3" spans="1:25" x14ac:dyDescent="0.2">
      <c r="A3" t="str">
        <f>VLOOKUP(B3,Refs!$B$2:$C$29,2,FALSE)</f>
        <v>Bulgaria</v>
      </c>
      <c r="B3" t="s">
        <v>244</v>
      </c>
      <c r="C3" t="s">
        <v>295</v>
      </c>
      <c r="D3" t="s">
        <v>296</v>
      </c>
      <c r="E3" t="s">
        <v>297</v>
      </c>
      <c r="F3" t="s">
        <v>287</v>
      </c>
      <c r="G3" t="s">
        <v>298</v>
      </c>
      <c r="H3">
        <v>2020</v>
      </c>
      <c r="I3">
        <v>2020</v>
      </c>
      <c r="J3">
        <v>2019</v>
      </c>
      <c r="K3">
        <v>2018</v>
      </c>
      <c r="L3" t="s">
        <v>299</v>
      </c>
      <c r="M3">
        <v>0</v>
      </c>
      <c r="N3">
        <v>0</v>
      </c>
      <c r="O3" t="s">
        <v>300</v>
      </c>
      <c r="P3" t="s">
        <v>301</v>
      </c>
      <c r="Q3" t="s">
        <v>302</v>
      </c>
      <c r="R3" t="s">
        <v>303</v>
      </c>
      <c r="S3" t="s">
        <v>304</v>
      </c>
      <c r="T3" t="s">
        <v>305</v>
      </c>
      <c r="U3" t="s">
        <v>305</v>
      </c>
      <c r="V3" t="s">
        <v>306</v>
      </c>
      <c r="W3" t="s">
        <v>307</v>
      </c>
      <c r="X3">
        <v>0</v>
      </c>
      <c r="Y3" t="s">
        <v>308</v>
      </c>
    </row>
    <row r="4" spans="1:25" x14ac:dyDescent="0.2">
      <c r="A4" t="str">
        <f>VLOOKUP(B4,Refs!$B$2:$C$29,2,FALSE)</f>
        <v>Austria</v>
      </c>
      <c r="B4" t="s">
        <v>254</v>
      </c>
      <c r="C4" t="s">
        <v>309</v>
      </c>
      <c r="D4" t="s">
        <v>310</v>
      </c>
      <c r="E4" t="s">
        <v>311</v>
      </c>
      <c r="F4" t="s">
        <v>312</v>
      </c>
      <c r="G4" t="s">
        <v>313</v>
      </c>
      <c r="H4">
        <v>2020</v>
      </c>
      <c r="I4">
        <v>2020</v>
      </c>
      <c r="J4">
        <v>2019</v>
      </c>
      <c r="K4">
        <v>2018</v>
      </c>
      <c r="L4" t="s">
        <v>314</v>
      </c>
      <c r="M4" t="s">
        <v>315</v>
      </c>
      <c r="N4" t="s">
        <v>316</v>
      </c>
      <c r="O4" t="s">
        <v>317</v>
      </c>
      <c r="P4" t="s">
        <v>318</v>
      </c>
      <c r="Q4" t="s">
        <v>319</v>
      </c>
      <c r="R4" t="s">
        <v>320</v>
      </c>
      <c r="S4">
        <v>0</v>
      </c>
      <c r="T4">
        <v>0</v>
      </c>
      <c r="U4">
        <v>0</v>
      </c>
      <c r="V4" t="s">
        <v>321</v>
      </c>
      <c r="W4" t="s">
        <v>322</v>
      </c>
      <c r="X4">
        <v>0</v>
      </c>
      <c r="Y4">
        <v>0</v>
      </c>
    </row>
    <row r="5" spans="1:25" x14ac:dyDescent="0.2">
      <c r="A5" t="str">
        <f>VLOOKUP(B5,Refs!$B$2:$C$29,2,FALSE)</f>
        <v>Germany</v>
      </c>
      <c r="B5" t="s">
        <v>237</v>
      </c>
      <c r="C5" t="s">
        <v>323</v>
      </c>
      <c r="D5" t="s">
        <v>324</v>
      </c>
      <c r="E5" t="s">
        <v>325</v>
      </c>
      <c r="F5" t="s">
        <v>326</v>
      </c>
      <c r="G5" t="s">
        <v>327</v>
      </c>
      <c r="H5">
        <v>2020</v>
      </c>
      <c r="I5">
        <v>2020</v>
      </c>
      <c r="J5">
        <v>2019</v>
      </c>
      <c r="K5">
        <v>2018</v>
      </c>
      <c r="L5">
        <v>0</v>
      </c>
      <c r="M5" t="s">
        <v>328</v>
      </c>
      <c r="N5" t="s">
        <v>329</v>
      </c>
      <c r="O5" t="s">
        <v>330</v>
      </c>
      <c r="P5" t="s">
        <v>331</v>
      </c>
      <c r="Q5" t="s">
        <v>332</v>
      </c>
      <c r="R5" t="s">
        <v>333</v>
      </c>
      <c r="S5" t="s">
        <v>334</v>
      </c>
      <c r="T5" t="s">
        <v>335</v>
      </c>
      <c r="U5" t="s">
        <v>335</v>
      </c>
      <c r="V5" t="s">
        <v>336</v>
      </c>
      <c r="W5" t="s">
        <v>337</v>
      </c>
      <c r="X5">
        <v>0</v>
      </c>
      <c r="Y5" t="s">
        <v>338</v>
      </c>
    </row>
    <row r="6" spans="1:25" ht="12.75" customHeight="1" x14ac:dyDescent="0.2">
      <c r="A6" t="str">
        <f>VLOOKUP(B6,Refs!$B$2:$C$29,2,FALSE)</f>
        <v>Greece</v>
      </c>
      <c r="B6" t="s">
        <v>248</v>
      </c>
      <c r="C6" t="s">
        <v>339</v>
      </c>
      <c r="D6" t="s">
        <v>593</v>
      </c>
      <c r="E6" t="s">
        <v>594</v>
      </c>
      <c r="F6" t="s">
        <v>340</v>
      </c>
      <c r="G6" t="s">
        <v>595</v>
      </c>
      <c r="J6">
        <v>2018</v>
      </c>
      <c r="K6">
        <v>2017</v>
      </c>
      <c r="L6" s="20" t="s">
        <v>596</v>
      </c>
      <c r="M6" t="s">
        <v>590</v>
      </c>
      <c r="N6" t="s">
        <v>591</v>
      </c>
      <c r="O6" t="s">
        <v>592</v>
      </c>
      <c r="P6" t="s">
        <v>341</v>
      </c>
      <c r="Q6" t="s">
        <v>342</v>
      </c>
      <c r="R6" t="s">
        <v>109</v>
      </c>
      <c r="S6" t="s">
        <v>343</v>
      </c>
      <c r="T6" t="s">
        <v>335</v>
      </c>
      <c r="U6" t="s">
        <v>335</v>
      </c>
      <c r="V6" t="s">
        <v>344</v>
      </c>
      <c r="W6" t="s">
        <v>345</v>
      </c>
      <c r="X6">
        <v>0</v>
      </c>
      <c r="Y6" t="s">
        <v>346</v>
      </c>
    </row>
    <row r="7" spans="1:25" x14ac:dyDescent="0.2">
      <c r="A7" t="str">
        <f>VLOOKUP(B7,Refs!$B$2:$C$29,2,FALSE)</f>
        <v>France</v>
      </c>
      <c r="B7" t="s">
        <v>239</v>
      </c>
      <c r="C7" t="s">
        <v>347</v>
      </c>
      <c r="D7" t="s">
        <v>348</v>
      </c>
      <c r="E7" t="s">
        <v>349</v>
      </c>
      <c r="F7">
        <v>0</v>
      </c>
      <c r="G7" t="s">
        <v>350</v>
      </c>
      <c r="H7">
        <v>2020</v>
      </c>
      <c r="I7" t="s">
        <v>174</v>
      </c>
      <c r="J7" t="s">
        <v>174</v>
      </c>
      <c r="K7" t="s">
        <v>174</v>
      </c>
      <c r="L7" t="s">
        <v>351</v>
      </c>
      <c r="M7" t="s">
        <v>352</v>
      </c>
      <c r="N7" t="s">
        <v>353</v>
      </c>
      <c r="O7" t="s">
        <v>354</v>
      </c>
      <c r="P7" t="s">
        <v>355</v>
      </c>
      <c r="Q7" t="s">
        <v>356</v>
      </c>
      <c r="R7" t="s">
        <v>109</v>
      </c>
      <c r="S7" t="s">
        <v>357</v>
      </c>
      <c r="T7" t="s">
        <v>357</v>
      </c>
      <c r="U7" t="s">
        <v>357</v>
      </c>
      <c r="V7" t="s">
        <v>358</v>
      </c>
      <c r="W7" t="s">
        <v>358</v>
      </c>
      <c r="X7">
        <v>0</v>
      </c>
      <c r="Y7">
        <v>0</v>
      </c>
    </row>
    <row r="8" spans="1:25" x14ac:dyDescent="0.2">
      <c r="A8" t="str">
        <f>VLOOKUP(B8,Refs!$B$2:$C$29,2,FALSE)</f>
        <v>Cyprus</v>
      </c>
      <c r="B8" t="s">
        <v>241</v>
      </c>
      <c r="C8" t="s">
        <v>359</v>
      </c>
      <c r="D8" t="s">
        <v>360</v>
      </c>
      <c r="E8" t="s">
        <v>361</v>
      </c>
      <c r="F8" t="s">
        <v>362</v>
      </c>
      <c r="G8" t="s">
        <v>363</v>
      </c>
      <c r="H8">
        <v>2020</v>
      </c>
      <c r="I8">
        <v>2019</v>
      </c>
      <c r="J8">
        <v>2018</v>
      </c>
      <c r="K8">
        <v>2017</v>
      </c>
      <c r="L8" t="s">
        <v>364</v>
      </c>
      <c r="M8">
        <v>0</v>
      </c>
      <c r="N8" t="s">
        <v>365</v>
      </c>
      <c r="O8" t="s">
        <v>366</v>
      </c>
      <c r="P8" t="s">
        <v>367</v>
      </c>
      <c r="Q8" t="s">
        <v>368</v>
      </c>
      <c r="R8" t="s">
        <v>369</v>
      </c>
      <c r="S8" t="s">
        <v>370</v>
      </c>
      <c r="T8" t="s">
        <v>305</v>
      </c>
      <c r="U8" t="s">
        <v>305</v>
      </c>
      <c r="V8" t="s">
        <v>371</v>
      </c>
      <c r="W8" t="s">
        <v>370</v>
      </c>
      <c r="X8">
        <v>0</v>
      </c>
      <c r="Y8" t="s">
        <v>372</v>
      </c>
    </row>
    <row r="9" spans="1:25" x14ac:dyDescent="0.2">
      <c r="A9" t="str">
        <f>VLOOKUP(B9,Refs!$B$2:$C$29,2,FALSE)</f>
        <v>Hungary</v>
      </c>
      <c r="B9" t="s">
        <v>243</v>
      </c>
      <c r="C9" t="s">
        <v>373</v>
      </c>
      <c r="D9" t="s">
        <v>374</v>
      </c>
      <c r="E9" t="s">
        <v>375</v>
      </c>
      <c r="F9" t="s">
        <v>287</v>
      </c>
      <c r="G9" t="s">
        <v>376</v>
      </c>
      <c r="H9">
        <v>2020</v>
      </c>
      <c r="I9">
        <v>2020</v>
      </c>
      <c r="J9">
        <v>2019</v>
      </c>
      <c r="K9">
        <v>2018</v>
      </c>
      <c r="L9" t="s">
        <v>377</v>
      </c>
      <c r="M9">
        <v>0</v>
      </c>
      <c r="N9" t="s">
        <v>378</v>
      </c>
      <c r="O9" t="s">
        <v>379</v>
      </c>
      <c r="P9" t="s">
        <v>380</v>
      </c>
      <c r="Q9" t="s">
        <v>381</v>
      </c>
      <c r="R9" t="s">
        <v>109</v>
      </c>
      <c r="S9" t="s">
        <v>382</v>
      </c>
      <c r="T9" t="s">
        <v>305</v>
      </c>
      <c r="U9" t="s">
        <v>305</v>
      </c>
      <c r="V9" t="s">
        <v>383</v>
      </c>
      <c r="W9" t="s">
        <v>384</v>
      </c>
      <c r="X9">
        <v>0</v>
      </c>
      <c r="Y9">
        <v>0</v>
      </c>
    </row>
    <row r="10" spans="1:25" x14ac:dyDescent="0.2">
      <c r="A10" t="str">
        <f>VLOOKUP(B10,Refs!$B$2:$C$29,2,FALSE)</f>
        <v>Poland</v>
      </c>
      <c r="B10" t="s">
        <v>255</v>
      </c>
      <c r="C10" t="s">
        <v>385</v>
      </c>
      <c r="D10" t="s">
        <v>386</v>
      </c>
      <c r="E10" t="s">
        <v>387</v>
      </c>
      <c r="F10">
        <v>0</v>
      </c>
      <c r="G10">
        <v>0</v>
      </c>
      <c r="H10">
        <v>2020</v>
      </c>
      <c r="I10">
        <v>2020</v>
      </c>
      <c r="J10">
        <v>2019</v>
      </c>
      <c r="K10">
        <v>2018</v>
      </c>
      <c r="L10">
        <v>0</v>
      </c>
      <c r="M10">
        <v>0</v>
      </c>
      <c r="N10">
        <v>0</v>
      </c>
      <c r="O10">
        <v>0</v>
      </c>
      <c r="P10">
        <v>0</v>
      </c>
      <c r="Q10">
        <v>0</v>
      </c>
      <c r="R10">
        <v>0</v>
      </c>
      <c r="S10">
        <v>0</v>
      </c>
      <c r="T10">
        <v>0</v>
      </c>
      <c r="U10">
        <v>0</v>
      </c>
      <c r="V10">
        <v>0</v>
      </c>
      <c r="W10">
        <v>0</v>
      </c>
      <c r="X10">
        <v>0</v>
      </c>
      <c r="Y10">
        <v>0</v>
      </c>
    </row>
    <row r="11" spans="1:25" x14ac:dyDescent="0.2">
      <c r="A11" t="str">
        <f>VLOOKUP(B11,Refs!$B$2:$C$29,2,FALSE)</f>
        <v>Portugal</v>
      </c>
      <c r="B11" t="s">
        <v>256</v>
      </c>
      <c r="C11" t="s">
        <v>388</v>
      </c>
      <c r="D11" t="s">
        <v>389</v>
      </c>
      <c r="E11" t="s">
        <v>390</v>
      </c>
      <c r="F11">
        <v>0</v>
      </c>
      <c r="G11">
        <v>0</v>
      </c>
      <c r="H11">
        <v>2020</v>
      </c>
      <c r="I11">
        <v>2020</v>
      </c>
      <c r="J11">
        <v>2018</v>
      </c>
      <c r="K11">
        <v>2017</v>
      </c>
      <c r="L11">
        <v>0</v>
      </c>
      <c r="M11">
        <v>0</v>
      </c>
      <c r="N11">
        <v>0</v>
      </c>
      <c r="O11" t="s">
        <v>391</v>
      </c>
      <c r="P11" t="s">
        <v>392</v>
      </c>
      <c r="Q11" t="s">
        <v>393</v>
      </c>
      <c r="R11" t="s">
        <v>109</v>
      </c>
      <c r="S11">
        <v>0</v>
      </c>
      <c r="T11">
        <v>0</v>
      </c>
      <c r="U11">
        <v>0</v>
      </c>
      <c r="V11" t="s">
        <v>394</v>
      </c>
      <c r="W11" t="s">
        <v>393</v>
      </c>
      <c r="X11">
        <v>0</v>
      </c>
      <c r="Y11" t="s">
        <v>395</v>
      </c>
    </row>
    <row r="12" spans="1:25" x14ac:dyDescent="0.2">
      <c r="A12" t="str">
        <f>VLOOKUP(B12,Refs!$B$2:$C$29,2,FALSE)</f>
        <v>Romania</v>
      </c>
      <c r="B12" t="s">
        <v>257</v>
      </c>
      <c r="C12" t="s">
        <v>396</v>
      </c>
      <c r="D12" t="s">
        <v>397</v>
      </c>
      <c r="E12" t="s">
        <v>398</v>
      </c>
      <c r="F12" t="s">
        <v>399</v>
      </c>
      <c r="G12" t="s">
        <v>400</v>
      </c>
      <c r="H12">
        <v>2020</v>
      </c>
      <c r="I12">
        <v>2020</v>
      </c>
      <c r="J12">
        <v>2019</v>
      </c>
      <c r="K12">
        <v>2018</v>
      </c>
      <c r="L12" t="s">
        <v>401</v>
      </c>
      <c r="M12" t="s">
        <v>402</v>
      </c>
      <c r="N12">
        <v>0</v>
      </c>
      <c r="O12" t="s">
        <v>403</v>
      </c>
      <c r="P12" t="s">
        <v>404</v>
      </c>
      <c r="Q12" t="s">
        <v>405</v>
      </c>
      <c r="R12" t="s">
        <v>109</v>
      </c>
      <c r="S12" t="s">
        <v>406</v>
      </c>
      <c r="T12">
        <v>0</v>
      </c>
      <c r="U12">
        <v>0</v>
      </c>
      <c r="V12" t="s">
        <v>407</v>
      </c>
      <c r="W12" t="s">
        <v>408</v>
      </c>
      <c r="X12" t="s">
        <v>409</v>
      </c>
      <c r="Y12">
        <v>0</v>
      </c>
    </row>
    <row r="13" spans="1:25" x14ac:dyDescent="0.2">
      <c r="A13" t="str">
        <f>VLOOKUP(B13,Refs!$B$2:$C$29,2,FALSE)</f>
        <v>Finland</v>
      </c>
      <c r="B13" t="s">
        <v>260</v>
      </c>
      <c r="C13" t="s">
        <v>410</v>
      </c>
      <c r="D13" t="s">
        <v>411</v>
      </c>
      <c r="E13" t="s">
        <v>412</v>
      </c>
      <c r="F13" t="s">
        <v>287</v>
      </c>
      <c r="G13" t="s">
        <v>298</v>
      </c>
      <c r="H13">
        <v>2020</v>
      </c>
      <c r="I13" t="s">
        <v>174</v>
      </c>
      <c r="J13" t="s">
        <v>174</v>
      </c>
      <c r="K13" t="s">
        <v>174</v>
      </c>
      <c r="L13" t="s">
        <v>413</v>
      </c>
      <c r="M13" t="s">
        <v>414</v>
      </c>
      <c r="N13" t="s">
        <v>415</v>
      </c>
      <c r="O13" t="s">
        <v>416</v>
      </c>
      <c r="P13" t="s">
        <v>417</v>
      </c>
      <c r="Q13" t="s">
        <v>418</v>
      </c>
      <c r="R13" t="s">
        <v>109</v>
      </c>
      <c r="S13" t="s">
        <v>419</v>
      </c>
      <c r="T13" t="s">
        <v>357</v>
      </c>
      <c r="U13" t="s">
        <v>357</v>
      </c>
      <c r="V13" t="s">
        <v>221</v>
      </c>
      <c r="W13" t="s">
        <v>221</v>
      </c>
      <c r="X13" t="s">
        <v>420</v>
      </c>
      <c r="Y13">
        <v>0</v>
      </c>
    </row>
    <row r="14" spans="1:25" x14ac:dyDescent="0.2">
      <c r="A14" t="str">
        <f>VLOOKUP(B14,Refs!$B$2:$C$29,2,FALSE)</f>
        <v>Sweden</v>
      </c>
      <c r="B14" t="s">
        <v>261</v>
      </c>
      <c r="C14" t="s">
        <v>421</v>
      </c>
      <c r="D14" t="s">
        <v>422</v>
      </c>
      <c r="E14" t="s">
        <v>423</v>
      </c>
      <c r="F14" t="s">
        <v>287</v>
      </c>
      <c r="G14" t="s">
        <v>424</v>
      </c>
      <c r="H14">
        <v>2020</v>
      </c>
      <c r="I14">
        <v>2020</v>
      </c>
      <c r="J14">
        <v>2018</v>
      </c>
      <c r="K14">
        <v>2017</v>
      </c>
      <c r="L14">
        <v>0</v>
      </c>
      <c r="M14">
        <v>0</v>
      </c>
      <c r="N14">
        <v>0</v>
      </c>
      <c r="O14" t="s">
        <v>425</v>
      </c>
      <c r="P14" t="s">
        <v>426</v>
      </c>
      <c r="Q14" t="s">
        <v>427</v>
      </c>
      <c r="R14" t="s">
        <v>109</v>
      </c>
      <c r="S14">
        <v>0</v>
      </c>
      <c r="T14">
        <v>0</v>
      </c>
      <c r="U14">
        <v>0</v>
      </c>
      <c r="V14" t="s">
        <v>428</v>
      </c>
      <c r="W14" t="s">
        <v>428</v>
      </c>
      <c r="X14">
        <v>0</v>
      </c>
      <c r="Y14">
        <v>0</v>
      </c>
    </row>
    <row r="15" spans="1:25" x14ac:dyDescent="0.2">
      <c r="A15" t="str">
        <f>VLOOKUP(B15,Refs!$B$2:$C$29,2,FALSE)</f>
        <v>Denmark</v>
      </c>
      <c r="B15" t="s">
        <v>245</v>
      </c>
      <c r="C15" t="s">
        <v>429</v>
      </c>
      <c r="D15" t="s">
        <v>430</v>
      </c>
      <c r="E15" t="s">
        <v>431</v>
      </c>
      <c r="F15" t="s">
        <v>287</v>
      </c>
      <c r="G15" t="s">
        <v>432</v>
      </c>
      <c r="H15">
        <v>2020</v>
      </c>
      <c r="I15">
        <v>2019</v>
      </c>
      <c r="J15">
        <v>2018</v>
      </c>
      <c r="K15">
        <v>2017</v>
      </c>
      <c r="L15" t="s">
        <v>433</v>
      </c>
      <c r="M15">
        <v>0</v>
      </c>
      <c r="N15">
        <v>0</v>
      </c>
      <c r="O15" t="s">
        <v>434</v>
      </c>
      <c r="P15" t="s">
        <v>435</v>
      </c>
      <c r="Q15" t="s">
        <v>436</v>
      </c>
      <c r="R15" t="s">
        <v>437</v>
      </c>
      <c r="S15" t="s">
        <v>438</v>
      </c>
      <c r="T15" t="s">
        <v>365</v>
      </c>
      <c r="U15" t="s">
        <v>365</v>
      </c>
      <c r="V15" t="s">
        <v>435</v>
      </c>
      <c r="W15" t="s">
        <v>436</v>
      </c>
      <c r="X15">
        <v>0</v>
      </c>
      <c r="Y15">
        <v>0</v>
      </c>
    </row>
    <row r="16" spans="1:25" x14ac:dyDescent="0.2">
      <c r="A16" t="str">
        <f>VLOOKUP(B16,Refs!$B$2:$C$29,2,FALSE)</f>
        <v>Ireland</v>
      </c>
      <c r="B16" t="s">
        <v>247</v>
      </c>
      <c r="C16" t="s">
        <v>439</v>
      </c>
      <c r="D16" t="s">
        <v>440</v>
      </c>
      <c r="E16" t="s">
        <v>441</v>
      </c>
      <c r="F16" t="s">
        <v>439</v>
      </c>
      <c r="G16" t="s">
        <v>442</v>
      </c>
      <c r="H16">
        <v>2020</v>
      </c>
      <c r="I16">
        <v>2019</v>
      </c>
      <c r="J16">
        <v>2018</v>
      </c>
      <c r="K16">
        <v>2017</v>
      </c>
      <c r="L16" t="s">
        <v>443</v>
      </c>
      <c r="M16" t="s">
        <v>444</v>
      </c>
      <c r="N16">
        <v>0</v>
      </c>
      <c r="O16" t="s">
        <v>445</v>
      </c>
      <c r="P16" t="s">
        <v>446</v>
      </c>
      <c r="Q16" t="s">
        <v>447</v>
      </c>
      <c r="R16" t="s">
        <v>448</v>
      </c>
      <c r="S16" t="s">
        <v>449</v>
      </c>
      <c r="T16" t="s">
        <v>450</v>
      </c>
      <c r="U16" t="s">
        <v>451</v>
      </c>
      <c r="V16">
        <v>0</v>
      </c>
      <c r="W16" t="s">
        <v>447</v>
      </c>
      <c r="X16">
        <v>0</v>
      </c>
      <c r="Y16" t="s">
        <v>452</v>
      </c>
    </row>
    <row r="17" spans="1:25" x14ac:dyDescent="0.2">
      <c r="A17" t="str">
        <f>VLOOKUP(B17,Refs!$B$2:$C$29,2,FALSE)</f>
        <v>Croatia</v>
      </c>
      <c r="B17" t="s">
        <v>249</v>
      </c>
      <c r="C17" t="s">
        <v>453</v>
      </c>
      <c r="D17" t="s">
        <v>454</v>
      </c>
      <c r="E17" t="s">
        <v>455</v>
      </c>
      <c r="F17" t="s">
        <v>456</v>
      </c>
      <c r="G17" t="s">
        <v>298</v>
      </c>
      <c r="H17">
        <v>2020</v>
      </c>
      <c r="I17">
        <v>2019</v>
      </c>
      <c r="J17">
        <v>2018</v>
      </c>
      <c r="K17">
        <v>2017</v>
      </c>
      <c r="L17" t="s">
        <v>457</v>
      </c>
      <c r="M17">
        <v>0</v>
      </c>
      <c r="N17">
        <v>0</v>
      </c>
      <c r="O17" t="s">
        <v>458</v>
      </c>
      <c r="P17" t="s">
        <v>459</v>
      </c>
      <c r="Q17" t="s">
        <v>460</v>
      </c>
      <c r="R17" t="s">
        <v>461</v>
      </c>
      <c r="S17" t="s">
        <v>462</v>
      </c>
      <c r="T17" t="s">
        <v>305</v>
      </c>
      <c r="U17" t="s">
        <v>305</v>
      </c>
      <c r="V17" t="s">
        <v>463</v>
      </c>
      <c r="W17">
        <v>0</v>
      </c>
      <c r="X17">
        <v>0</v>
      </c>
      <c r="Y17">
        <v>0</v>
      </c>
    </row>
    <row r="18" spans="1:25" x14ac:dyDescent="0.2">
      <c r="A18" t="str">
        <f>VLOOKUP(B18,Refs!$B$2:$C$29,2,FALSE)</f>
        <v>Italy</v>
      </c>
      <c r="B18" t="s">
        <v>240</v>
      </c>
      <c r="C18" t="s">
        <v>464</v>
      </c>
      <c r="D18" t="s">
        <v>465</v>
      </c>
      <c r="E18" t="s">
        <v>466</v>
      </c>
      <c r="F18" t="s">
        <v>467</v>
      </c>
      <c r="G18" t="s">
        <v>468</v>
      </c>
      <c r="H18">
        <v>2020</v>
      </c>
      <c r="I18">
        <v>2020</v>
      </c>
      <c r="J18">
        <v>2019</v>
      </c>
      <c r="K18">
        <v>2018</v>
      </c>
      <c r="L18" t="s">
        <v>469</v>
      </c>
      <c r="M18">
        <v>0</v>
      </c>
      <c r="N18">
        <v>0</v>
      </c>
      <c r="O18" t="s">
        <v>470</v>
      </c>
      <c r="P18" t="s">
        <v>471</v>
      </c>
      <c r="Q18" t="s">
        <v>472</v>
      </c>
      <c r="R18" t="s">
        <v>109</v>
      </c>
      <c r="S18" t="s">
        <v>473</v>
      </c>
      <c r="T18">
        <v>0</v>
      </c>
      <c r="U18">
        <v>0</v>
      </c>
      <c r="V18" t="s">
        <v>474</v>
      </c>
      <c r="W18" t="s">
        <v>475</v>
      </c>
      <c r="X18">
        <v>0</v>
      </c>
      <c r="Y18">
        <v>0</v>
      </c>
    </row>
    <row r="19" spans="1:25" x14ac:dyDescent="0.2">
      <c r="A19" t="str">
        <f>VLOOKUP(B19,Refs!$B$2:$C$29,2,FALSE)</f>
        <v>Latvia</v>
      </c>
      <c r="B19" t="s">
        <v>250</v>
      </c>
      <c r="C19" t="s">
        <v>476</v>
      </c>
      <c r="D19" t="s">
        <v>477</v>
      </c>
      <c r="E19" t="s">
        <v>478</v>
      </c>
      <c r="F19" t="s">
        <v>479</v>
      </c>
      <c r="G19" t="s">
        <v>480</v>
      </c>
      <c r="H19">
        <v>2020</v>
      </c>
      <c r="I19">
        <v>2019</v>
      </c>
      <c r="J19">
        <v>2018</v>
      </c>
      <c r="K19">
        <v>2017</v>
      </c>
      <c r="L19" t="s">
        <v>481</v>
      </c>
      <c r="M19" t="s">
        <v>482</v>
      </c>
      <c r="N19" t="s">
        <v>483</v>
      </c>
      <c r="O19" t="s">
        <v>484</v>
      </c>
      <c r="P19" t="s">
        <v>485</v>
      </c>
      <c r="Q19" t="s">
        <v>486</v>
      </c>
      <c r="R19" t="s">
        <v>109</v>
      </c>
      <c r="S19" t="s">
        <v>487</v>
      </c>
      <c r="T19" t="s">
        <v>487</v>
      </c>
      <c r="U19" t="s">
        <v>488</v>
      </c>
      <c r="V19" t="s">
        <v>489</v>
      </c>
      <c r="W19" t="s">
        <v>490</v>
      </c>
      <c r="X19">
        <v>0</v>
      </c>
      <c r="Y19">
        <v>0</v>
      </c>
    </row>
    <row r="20" spans="1:25" x14ac:dyDescent="0.2">
      <c r="A20" t="str">
        <f>VLOOKUP(B20,Refs!$B$2:$C$29,2,FALSE)</f>
        <v>Lithuania</v>
      </c>
      <c r="B20" t="s">
        <v>251</v>
      </c>
      <c r="C20" t="s">
        <v>491</v>
      </c>
      <c r="D20" t="s">
        <v>492</v>
      </c>
      <c r="E20" t="s">
        <v>493</v>
      </c>
      <c r="F20" t="s">
        <v>287</v>
      </c>
      <c r="G20" t="s">
        <v>494</v>
      </c>
      <c r="H20">
        <v>2020</v>
      </c>
      <c r="I20">
        <v>2019</v>
      </c>
      <c r="J20">
        <v>2018</v>
      </c>
      <c r="K20">
        <v>2017</v>
      </c>
      <c r="L20" t="s">
        <v>495</v>
      </c>
      <c r="M20" t="s">
        <v>496</v>
      </c>
      <c r="N20" t="s">
        <v>316</v>
      </c>
      <c r="O20" t="s">
        <v>497</v>
      </c>
      <c r="P20" t="s">
        <v>498</v>
      </c>
      <c r="Q20" t="s">
        <v>499</v>
      </c>
      <c r="R20" t="s">
        <v>500</v>
      </c>
      <c r="S20" t="s">
        <v>501</v>
      </c>
      <c r="T20" t="s">
        <v>305</v>
      </c>
      <c r="U20" t="s">
        <v>305</v>
      </c>
      <c r="V20" t="s">
        <v>502</v>
      </c>
      <c r="W20" t="s">
        <v>503</v>
      </c>
      <c r="X20">
        <v>0</v>
      </c>
      <c r="Y20" t="s">
        <v>504</v>
      </c>
    </row>
    <row r="21" spans="1:25" x14ac:dyDescent="0.2">
      <c r="A21" t="str">
        <f>VLOOKUP(B21,Refs!$B$2:$C$29,2,FALSE)</f>
        <v>Luxembourg</v>
      </c>
      <c r="B21" t="s">
        <v>242</v>
      </c>
      <c r="C21" t="s">
        <v>505</v>
      </c>
      <c r="D21" t="s">
        <v>506</v>
      </c>
      <c r="E21" t="s">
        <v>507</v>
      </c>
      <c r="F21" t="s">
        <v>508</v>
      </c>
      <c r="G21" t="s">
        <v>509</v>
      </c>
      <c r="H21">
        <v>2020</v>
      </c>
      <c r="I21">
        <v>2019</v>
      </c>
      <c r="J21">
        <v>2018</v>
      </c>
      <c r="K21">
        <v>2017</v>
      </c>
      <c r="L21" t="s">
        <v>510</v>
      </c>
      <c r="M21" t="s">
        <v>511</v>
      </c>
      <c r="N21" t="s">
        <v>512</v>
      </c>
      <c r="O21" t="s">
        <v>513</v>
      </c>
      <c r="P21" t="s">
        <v>514</v>
      </c>
      <c r="Q21" t="s">
        <v>515</v>
      </c>
      <c r="R21" t="s">
        <v>109</v>
      </c>
      <c r="S21" t="s">
        <v>516</v>
      </c>
      <c r="T21" t="s">
        <v>305</v>
      </c>
      <c r="U21" t="s">
        <v>305</v>
      </c>
      <c r="V21" t="s">
        <v>514</v>
      </c>
      <c r="W21" t="s">
        <v>515</v>
      </c>
      <c r="X21">
        <v>0</v>
      </c>
      <c r="Y21">
        <v>0</v>
      </c>
    </row>
    <row r="22" spans="1:25" x14ac:dyDescent="0.2">
      <c r="A22" t="str">
        <f>VLOOKUP(B22,Refs!$B$2:$C$29,2,FALSE)</f>
        <v>Slovakia</v>
      </c>
      <c r="B22" t="s">
        <v>259</v>
      </c>
      <c r="C22" t="s">
        <v>517</v>
      </c>
      <c r="D22" t="s">
        <v>518</v>
      </c>
      <c r="E22" t="s">
        <v>519</v>
      </c>
      <c r="F22" t="s">
        <v>399</v>
      </c>
      <c r="G22" t="s">
        <v>520</v>
      </c>
      <c r="H22">
        <v>2020</v>
      </c>
      <c r="I22">
        <v>2020</v>
      </c>
      <c r="J22">
        <v>2019</v>
      </c>
      <c r="K22">
        <v>2018</v>
      </c>
      <c r="L22" t="s">
        <v>521</v>
      </c>
      <c r="M22">
        <v>0</v>
      </c>
      <c r="N22">
        <v>0</v>
      </c>
      <c r="O22" t="s">
        <v>522</v>
      </c>
      <c r="P22" t="s">
        <v>523</v>
      </c>
      <c r="Q22" t="s">
        <v>524</v>
      </c>
      <c r="R22" t="s">
        <v>109</v>
      </c>
      <c r="S22">
        <v>0</v>
      </c>
      <c r="T22">
        <v>0</v>
      </c>
      <c r="U22">
        <v>0</v>
      </c>
      <c r="V22" t="s">
        <v>525</v>
      </c>
      <c r="W22" t="s">
        <v>526</v>
      </c>
      <c r="X22">
        <v>0</v>
      </c>
      <c r="Y22">
        <v>0</v>
      </c>
    </row>
    <row r="23" spans="1:25" x14ac:dyDescent="0.2">
      <c r="A23" t="str">
        <f>VLOOKUP(B23,Refs!$B$2:$C$29,2,FALSE)</f>
        <v>Spain</v>
      </c>
      <c r="B23" t="s">
        <v>238</v>
      </c>
      <c r="C23" t="s">
        <v>527</v>
      </c>
      <c r="D23" t="s">
        <v>528</v>
      </c>
      <c r="E23" t="s">
        <v>529</v>
      </c>
      <c r="F23" t="s">
        <v>530</v>
      </c>
      <c r="G23" t="s">
        <v>531</v>
      </c>
      <c r="H23">
        <v>2020</v>
      </c>
      <c r="I23">
        <v>2019</v>
      </c>
      <c r="J23">
        <v>2018</v>
      </c>
      <c r="K23">
        <v>2017</v>
      </c>
      <c r="L23" t="s">
        <v>532</v>
      </c>
      <c r="M23" t="s">
        <v>533</v>
      </c>
      <c r="N23" t="s">
        <v>534</v>
      </c>
      <c r="O23" t="s">
        <v>535</v>
      </c>
      <c r="P23" t="s">
        <v>536</v>
      </c>
      <c r="Q23" t="s">
        <v>537</v>
      </c>
      <c r="R23" t="s">
        <v>109</v>
      </c>
      <c r="S23">
        <v>0</v>
      </c>
      <c r="T23">
        <v>0</v>
      </c>
      <c r="U23">
        <v>0</v>
      </c>
      <c r="V23" t="s">
        <v>538</v>
      </c>
      <c r="W23" t="s">
        <v>539</v>
      </c>
      <c r="X23">
        <v>0</v>
      </c>
      <c r="Y23">
        <v>0</v>
      </c>
    </row>
    <row r="24" spans="1:25" x14ac:dyDescent="0.2">
      <c r="A24" t="str">
        <f>VLOOKUP(B24,Refs!$B$2:$C$29,2,FALSE)</f>
        <v>Malta</v>
      </c>
      <c r="B24" t="s">
        <v>252</v>
      </c>
      <c r="C24" t="s">
        <v>540</v>
      </c>
      <c r="D24" t="s">
        <v>541</v>
      </c>
      <c r="E24" t="s">
        <v>542</v>
      </c>
      <c r="F24" t="s">
        <v>543</v>
      </c>
      <c r="G24" t="s">
        <v>544</v>
      </c>
      <c r="H24">
        <v>2020</v>
      </c>
      <c r="I24">
        <v>2020</v>
      </c>
      <c r="J24">
        <v>2019</v>
      </c>
      <c r="K24">
        <v>2018</v>
      </c>
      <c r="L24" t="s">
        <v>545</v>
      </c>
      <c r="M24">
        <v>0</v>
      </c>
      <c r="N24">
        <v>0</v>
      </c>
      <c r="O24" t="s">
        <v>546</v>
      </c>
      <c r="P24" t="s">
        <v>547</v>
      </c>
      <c r="Q24" t="s">
        <v>548</v>
      </c>
      <c r="R24" t="s">
        <v>109</v>
      </c>
      <c r="S24" t="s">
        <v>549</v>
      </c>
      <c r="T24" t="s">
        <v>305</v>
      </c>
      <c r="U24" t="s">
        <v>305</v>
      </c>
      <c r="V24" t="s">
        <v>547</v>
      </c>
      <c r="W24" t="s">
        <v>550</v>
      </c>
      <c r="X24">
        <v>0</v>
      </c>
      <c r="Y24" t="s">
        <v>551</v>
      </c>
    </row>
    <row r="25" spans="1:25" x14ac:dyDescent="0.2">
      <c r="A25" t="str">
        <f>VLOOKUP(B25,Refs!$B$2:$C$29,2,FALSE)</f>
        <v>The Netherlands</v>
      </c>
      <c r="B25" t="s">
        <v>253</v>
      </c>
      <c r="C25">
        <v>0</v>
      </c>
      <c r="D25">
        <v>0</v>
      </c>
      <c r="E25">
        <v>0</v>
      </c>
      <c r="F25" t="s">
        <v>552</v>
      </c>
      <c r="G25" t="s">
        <v>553</v>
      </c>
      <c r="H25">
        <v>2020</v>
      </c>
      <c r="I25" t="s">
        <v>174</v>
      </c>
      <c r="J25" t="s">
        <v>174</v>
      </c>
      <c r="K25" t="s">
        <v>174</v>
      </c>
      <c r="L25" t="s">
        <v>554</v>
      </c>
      <c r="M25">
        <v>0</v>
      </c>
      <c r="N25" t="s">
        <v>555</v>
      </c>
      <c r="O25" t="s">
        <v>556</v>
      </c>
      <c r="P25" t="s">
        <v>557</v>
      </c>
      <c r="Q25" t="s">
        <v>558</v>
      </c>
      <c r="R25" t="s">
        <v>500</v>
      </c>
      <c r="S25" t="s">
        <v>559</v>
      </c>
      <c r="T25" t="s">
        <v>305</v>
      </c>
      <c r="U25" t="s">
        <v>305</v>
      </c>
      <c r="V25" t="s">
        <v>560</v>
      </c>
      <c r="W25" t="s">
        <v>560</v>
      </c>
      <c r="X25">
        <v>0</v>
      </c>
      <c r="Y25" t="s">
        <v>561</v>
      </c>
    </row>
    <row r="26" spans="1:25" x14ac:dyDescent="0.2">
      <c r="A26" t="str">
        <f>VLOOKUP(B26,Refs!$B$2:$C$29,2,FALSE)</f>
        <v>Slovenia</v>
      </c>
      <c r="B26" t="s">
        <v>258</v>
      </c>
      <c r="C26" t="s">
        <v>562</v>
      </c>
      <c r="D26" t="s">
        <v>563</v>
      </c>
      <c r="E26" t="s">
        <v>564</v>
      </c>
      <c r="F26" t="s">
        <v>565</v>
      </c>
      <c r="G26" t="s">
        <v>298</v>
      </c>
      <c r="H26">
        <v>2020</v>
      </c>
      <c r="I26">
        <v>2020</v>
      </c>
      <c r="J26">
        <v>2018</v>
      </c>
      <c r="K26">
        <v>2017</v>
      </c>
      <c r="L26" t="s">
        <v>566</v>
      </c>
      <c r="M26">
        <v>0</v>
      </c>
      <c r="N26">
        <v>0</v>
      </c>
      <c r="O26" t="s">
        <v>567</v>
      </c>
      <c r="P26" t="s">
        <v>568</v>
      </c>
      <c r="Q26">
        <v>0</v>
      </c>
      <c r="R26">
        <v>0</v>
      </c>
      <c r="S26" t="s">
        <v>569</v>
      </c>
      <c r="T26" t="s">
        <v>570</v>
      </c>
      <c r="U26" t="s">
        <v>570</v>
      </c>
      <c r="V26" t="s">
        <v>571</v>
      </c>
      <c r="W26" t="s">
        <v>572</v>
      </c>
      <c r="X26" t="s">
        <v>573</v>
      </c>
      <c r="Y26" t="s">
        <v>574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dimension ref="A1:D29"/>
  <sheetViews>
    <sheetView workbookViewId="0">
      <selection activeCell="D8" sqref="D8"/>
    </sheetView>
  </sheetViews>
  <sheetFormatPr baseColWidth="10" defaultColWidth="9.1640625" defaultRowHeight="15" x14ac:dyDescent="0.2"/>
  <cols>
    <col min="1" max="1" width="11.5" customWidth="1"/>
    <col min="3" max="3" width="11.1640625" customWidth="1"/>
  </cols>
  <sheetData>
    <row r="1" spans="1:4" x14ac:dyDescent="0.2">
      <c r="A1" s="1" t="s">
        <v>35</v>
      </c>
      <c r="C1" s="1" t="s">
        <v>60</v>
      </c>
      <c r="D1" s="1" t="s">
        <v>166</v>
      </c>
    </row>
    <row r="2" spans="1:4" x14ac:dyDescent="0.2">
      <c r="A2" t="s">
        <v>174</v>
      </c>
      <c r="C2" t="s">
        <v>98</v>
      </c>
      <c r="D2" t="s">
        <v>174</v>
      </c>
    </row>
    <row r="3" spans="1:4" x14ac:dyDescent="0.2">
      <c r="A3" t="s">
        <v>36</v>
      </c>
      <c r="B3" t="s">
        <v>235</v>
      </c>
      <c r="C3" t="s">
        <v>61</v>
      </c>
      <c r="D3">
        <v>2017</v>
      </c>
    </row>
    <row r="4" spans="1:4" x14ac:dyDescent="0.2">
      <c r="A4" t="s">
        <v>37</v>
      </c>
      <c r="B4" t="s">
        <v>244</v>
      </c>
      <c r="C4" t="s">
        <v>62</v>
      </c>
      <c r="D4">
        <v>2018</v>
      </c>
    </row>
    <row r="5" spans="1:4" x14ac:dyDescent="0.2">
      <c r="A5" t="s">
        <v>38</v>
      </c>
      <c r="B5" t="s">
        <v>236</v>
      </c>
      <c r="C5" t="s">
        <v>576</v>
      </c>
      <c r="D5">
        <v>2019</v>
      </c>
    </row>
    <row r="6" spans="1:4" x14ac:dyDescent="0.2">
      <c r="A6" t="s">
        <v>39</v>
      </c>
      <c r="B6" t="s">
        <v>245</v>
      </c>
      <c r="C6" t="s">
        <v>63</v>
      </c>
      <c r="D6">
        <v>2020</v>
      </c>
    </row>
    <row r="7" spans="1:4" x14ac:dyDescent="0.2">
      <c r="A7" t="s">
        <v>40</v>
      </c>
      <c r="B7" t="s">
        <v>237</v>
      </c>
      <c r="C7" t="s">
        <v>64</v>
      </c>
      <c r="D7">
        <v>2021</v>
      </c>
    </row>
    <row r="8" spans="1:4" x14ac:dyDescent="0.2">
      <c r="A8" t="s">
        <v>41</v>
      </c>
      <c r="B8" t="s">
        <v>246</v>
      </c>
      <c r="C8" t="s">
        <v>65</v>
      </c>
      <c r="D8">
        <v>2022</v>
      </c>
    </row>
    <row r="9" spans="1:4" x14ac:dyDescent="0.2">
      <c r="A9" t="s">
        <v>42</v>
      </c>
      <c r="B9" t="s">
        <v>247</v>
      </c>
      <c r="C9" t="s">
        <v>66</v>
      </c>
    </row>
    <row r="10" spans="1:4" x14ac:dyDescent="0.2">
      <c r="A10" t="s">
        <v>43</v>
      </c>
      <c r="B10" t="s">
        <v>248</v>
      </c>
      <c r="C10" t="s">
        <v>67</v>
      </c>
    </row>
    <row r="11" spans="1:4" x14ac:dyDescent="0.2">
      <c r="A11" t="s">
        <v>44</v>
      </c>
      <c r="B11" t="s">
        <v>238</v>
      </c>
      <c r="C11" t="s">
        <v>68</v>
      </c>
    </row>
    <row r="12" spans="1:4" x14ac:dyDescent="0.2">
      <c r="A12" t="s">
        <v>45</v>
      </c>
      <c r="B12" t="s">
        <v>239</v>
      </c>
      <c r="C12" t="s">
        <v>69</v>
      </c>
    </row>
    <row r="13" spans="1:4" x14ac:dyDescent="0.2">
      <c r="A13" t="s">
        <v>46</v>
      </c>
      <c r="B13" t="s">
        <v>249</v>
      </c>
      <c r="C13" t="s">
        <v>70</v>
      </c>
    </row>
    <row r="14" spans="1:4" x14ac:dyDescent="0.2">
      <c r="A14" t="s">
        <v>47</v>
      </c>
      <c r="B14" t="s">
        <v>240</v>
      </c>
      <c r="C14" t="s">
        <v>71</v>
      </c>
    </row>
    <row r="15" spans="1:4" x14ac:dyDescent="0.2">
      <c r="B15" t="s">
        <v>241</v>
      </c>
      <c r="C15" t="s">
        <v>72</v>
      </c>
    </row>
    <row r="16" spans="1:4" x14ac:dyDescent="0.2">
      <c r="B16" t="s">
        <v>250</v>
      </c>
      <c r="C16" t="s">
        <v>73</v>
      </c>
    </row>
    <row r="17" spans="2:3" x14ac:dyDescent="0.2">
      <c r="B17" t="s">
        <v>251</v>
      </c>
      <c r="C17" t="s">
        <v>74</v>
      </c>
    </row>
    <row r="18" spans="2:3" x14ac:dyDescent="0.2">
      <c r="B18" t="s">
        <v>242</v>
      </c>
      <c r="C18" t="s">
        <v>75</v>
      </c>
    </row>
    <row r="19" spans="2:3" x14ac:dyDescent="0.2">
      <c r="B19" t="s">
        <v>243</v>
      </c>
      <c r="C19" t="s">
        <v>76</v>
      </c>
    </row>
    <row r="20" spans="2:3" x14ac:dyDescent="0.2">
      <c r="B20" t="s">
        <v>252</v>
      </c>
      <c r="C20" t="s">
        <v>77</v>
      </c>
    </row>
    <row r="21" spans="2:3" x14ac:dyDescent="0.2">
      <c r="B21" t="s">
        <v>253</v>
      </c>
      <c r="C21" t="s">
        <v>78</v>
      </c>
    </row>
    <row r="22" spans="2:3" x14ac:dyDescent="0.2">
      <c r="B22" t="s">
        <v>254</v>
      </c>
      <c r="C22" t="s">
        <v>79</v>
      </c>
    </row>
    <row r="23" spans="2:3" x14ac:dyDescent="0.2">
      <c r="B23" t="s">
        <v>255</v>
      </c>
      <c r="C23" t="s">
        <v>80</v>
      </c>
    </row>
    <row r="24" spans="2:3" x14ac:dyDescent="0.2">
      <c r="B24" t="s">
        <v>256</v>
      </c>
      <c r="C24" t="s">
        <v>81</v>
      </c>
    </row>
    <row r="25" spans="2:3" x14ac:dyDescent="0.2">
      <c r="B25" t="s">
        <v>257</v>
      </c>
      <c r="C25" t="s">
        <v>82</v>
      </c>
    </row>
    <row r="26" spans="2:3" x14ac:dyDescent="0.2">
      <c r="B26" t="s">
        <v>258</v>
      </c>
      <c r="C26" t="s">
        <v>83</v>
      </c>
    </row>
    <row r="27" spans="2:3" x14ac:dyDescent="0.2">
      <c r="B27" t="s">
        <v>259</v>
      </c>
      <c r="C27" t="s">
        <v>84</v>
      </c>
    </row>
    <row r="28" spans="2:3" x14ac:dyDescent="0.2">
      <c r="B28" t="s">
        <v>260</v>
      </c>
      <c r="C28" t="s">
        <v>85</v>
      </c>
    </row>
    <row r="29" spans="2:3" x14ac:dyDescent="0.2">
      <c r="B29" t="s">
        <v>261</v>
      </c>
      <c r="C29" t="s">
        <v>86</v>
      </c>
    </row>
  </sheetData>
  <pageMargins left="0.23622047244094491" right="0.23622047244094491" top="0.74803149606299213" bottom="0.74803149606299213" header="0.31496062992125984" footer="0.31496062992125984"/>
  <pageSetup paperSize="9" orientation="landscape" r:id="rId1"/>
  <headerFooter>
    <oddFooter>&amp;LYG monitoring (pilot)&amp;R&amp;A\&amp;P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N44"/>
  <sheetViews>
    <sheetView workbookViewId="0">
      <selection activeCell="C24" sqref="C24"/>
    </sheetView>
  </sheetViews>
  <sheetFormatPr baseColWidth="10" defaultColWidth="9.1640625" defaultRowHeight="15" x14ac:dyDescent="0.2"/>
  <cols>
    <col min="1" max="1" width="4.5" style="29" customWidth="1"/>
    <col min="2" max="2" width="23.5" style="29" customWidth="1"/>
    <col min="3" max="4" width="10.5" style="29" bestFit="1" customWidth="1"/>
    <col min="5" max="16384" width="9.1640625" style="29"/>
  </cols>
  <sheetData>
    <row r="1" spans="1:14" s="28" customFormat="1" ht="19" x14ac:dyDescent="0.2">
      <c r="A1" s="27" t="s">
        <v>0</v>
      </c>
    </row>
    <row r="2" spans="1:14" s="28" customFormat="1" x14ac:dyDescent="0.2">
      <c r="A2" s="74" t="s">
        <v>125</v>
      </c>
      <c r="B2" s="28" t="s">
        <v>126</v>
      </c>
    </row>
    <row r="3" spans="1:14" s="28" customFormat="1" x14ac:dyDescent="0.2">
      <c r="A3" s="74"/>
      <c r="B3" s="28" t="s">
        <v>127</v>
      </c>
    </row>
    <row r="4" spans="1:14" s="28" customFormat="1" ht="19" x14ac:dyDescent="0.2">
      <c r="A4" s="27"/>
      <c r="B4" s="28" t="s">
        <v>132</v>
      </c>
    </row>
    <row r="6" spans="1:14" x14ac:dyDescent="0.2">
      <c r="A6" s="36" t="s">
        <v>128</v>
      </c>
    </row>
    <row r="7" spans="1:14" ht="34.5" customHeight="1" x14ac:dyDescent="0.2">
      <c r="A7" s="298" t="s">
        <v>133</v>
      </c>
      <c r="B7" s="298"/>
      <c r="C7" s="298"/>
      <c r="D7" s="298"/>
      <c r="E7" s="298"/>
      <c r="F7" s="298"/>
      <c r="G7" s="298"/>
      <c r="H7" s="298"/>
      <c r="I7" s="298"/>
      <c r="J7" s="298"/>
      <c r="K7" s="298"/>
      <c r="L7" s="298"/>
      <c r="M7" s="298"/>
      <c r="N7" s="298"/>
    </row>
    <row r="8" spans="1:14" ht="30" customHeight="1" x14ac:dyDescent="0.2">
      <c r="A8" s="298" t="s">
        <v>134</v>
      </c>
      <c r="B8" s="298"/>
      <c r="C8" s="298"/>
      <c r="D8" s="298"/>
      <c r="E8" s="298"/>
      <c r="F8" s="298"/>
      <c r="G8" s="298"/>
      <c r="H8" s="298"/>
      <c r="I8" s="298"/>
      <c r="J8" s="298"/>
      <c r="K8" s="298"/>
      <c r="L8" s="298"/>
      <c r="M8" s="298"/>
      <c r="N8" s="298"/>
    </row>
    <row r="9" spans="1:14" x14ac:dyDescent="0.2">
      <c r="A9" s="29" t="s">
        <v>33</v>
      </c>
    </row>
    <row r="10" spans="1:14" x14ac:dyDescent="0.2">
      <c r="B10" s="29" t="s">
        <v>129</v>
      </c>
    </row>
    <row r="11" spans="1:14" x14ac:dyDescent="0.2">
      <c r="B11" s="29" t="s">
        <v>586</v>
      </c>
    </row>
    <row r="12" spans="1:14" ht="18" customHeight="1" x14ac:dyDescent="0.2">
      <c r="B12" s="29" t="s">
        <v>130</v>
      </c>
    </row>
    <row r="13" spans="1:14" ht="34.5" customHeight="1" x14ac:dyDescent="0.2">
      <c r="A13" s="299" t="s">
        <v>135</v>
      </c>
      <c r="B13" s="299"/>
      <c r="C13" s="299"/>
      <c r="D13" s="299"/>
      <c r="E13" s="299"/>
      <c r="F13" s="299"/>
      <c r="G13" s="299"/>
      <c r="H13" s="299"/>
      <c r="I13" s="299"/>
      <c r="J13" s="299"/>
      <c r="K13" s="299"/>
      <c r="L13" s="299"/>
      <c r="M13" s="299"/>
      <c r="N13" s="299"/>
    </row>
    <row r="15" spans="1:14" s="38" customFormat="1" x14ac:dyDescent="0.2">
      <c r="A15" s="36" t="s">
        <v>131</v>
      </c>
    </row>
    <row r="16" spans="1:14" ht="34.5" customHeight="1" x14ac:dyDescent="0.2">
      <c r="A16" s="298" t="s">
        <v>139</v>
      </c>
      <c r="B16" s="298"/>
      <c r="C16" s="298"/>
      <c r="D16" s="298"/>
      <c r="E16" s="298"/>
      <c r="F16" s="298"/>
      <c r="G16" s="298"/>
      <c r="H16" s="298"/>
      <c r="I16" s="298"/>
      <c r="J16" s="298"/>
      <c r="K16" s="298"/>
      <c r="L16" s="298"/>
      <c r="M16" s="298"/>
      <c r="N16" s="298"/>
    </row>
    <row r="17" spans="1:14" ht="18" customHeight="1" x14ac:dyDescent="0.2">
      <c r="A17" s="29" t="s">
        <v>34</v>
      </c>
    </row>
    <row r="18" spans="1:14" ht="34.5" customHeight="1" x14ac:dyDescent="0.2">
      <c r="A18" s="298" t="s">
        <v>136</v>
      </c>
      <c r="B18" s="298"/>
      <c r="C18" s="298"/>
      <c r="D18" s="298"/>
      <c r="E18" s="298"/>
      <c r="F18" s="298"/>
      <c r="G18" s="298"/>
      <c r="H18" s="298"/>
      <c r="I18" s="298"/>
      <c r="J18" s="298"/>
      <c r="K18" s="298"/>
      <c r="L18" s="298"/>
      <c r="M18" s="298"/>
      <c r="N18" s="298"/>
    </row>
    <row r="20" spans="1:14" x14ac:dyDescent="0.2">
      <c r="A20" s="36" t="s">
        <v>137</v>
      </c>
    </row>
    <row r="21" spans="1:14" ht="34.5" customHeight="1" x14ac:dyDescent="0.2">
      <c r="A21" s="298" t="s">
        <v>138</v>
      </c>
      <c r="B21" s="298"/>
      <c r="C21" s="298"/>
      <c r="D21" s="298"/>
      <c r="E21" s="298"/>
      <c r="F21" s="298"/>
      <c r="G21" s="298"/>
      <c r="H21" s="298"/>
      <c r="I21" s="298"/>
      <c r="J21" s="298"/>
      <c r="K21" s="298"/>
      <c r="L21" s="298"/>
      <c r="M21" s="298"/>
      <c r="N21" s="298"/>
    </row>
    <row r="22" spans="1:14" ht="34.5" customHeight="1" x14ac:dyDescent="0.2">
      <c r="A22" s="298" t="s">
        <v>140</v>
      </c>
      <c r="B22" s="298"/>
      <c r="C22" s="298"/>
      <c r="D22" s="298"/>
      <c r="E22" s="298"/>
      <c r="F22" s="298"/>
      <c r="G22" s="298"/>
      <c r="H22" s="298"/>
      <c r="I22" s="298"/>
      <c r="J22" s="298"/>
      <c r="K22" s="298"/>
      <c r="L22" s="298"/>
      <c r="M22" s="298"/>
      <c r="N22" s="298"/>
    </row>
    <row r="23" spans="1:14" ht="48" customHeight="1" x14ac:dyDescent="0.2">
      <c r="A23" s="298" t="s">
        <v>141</v>
      </c>
      <c r="B23" s="298"/>
      <c r="C23" s="298"/>
      <c r="D23" s="298"/>
      <c r="E23" s="298"/>
      <c r="F23" s="298"/>
      <c r="G23" s="298"/>
      <c r="H23" s="298"/>
      <c r="I23" s="298"/>
      <c r="J23" s="298"/>
      <c r="K23" s="298"/>
      <c r="L23" s="298"/>
      <c r="M23" s="298"/>
      <c r="N23" s="298"/>
    </row>
    <row r="24" spans="1:14" x14ac:dyDescent="0.2">
      <c r="A24" s="35"/>
      <c r="B24" s="35"/>
      <c r="C24" s="35"/>
      <c r="D24" s="35"/>
      <c r="E24" s="35"/>
      <c r="F24" s="35"/>
      <c r="G24" s="35"/>
      <c r="H24" s="35"/>
      <c r="I24" s="35"/>
      <c r="J24" s="35"/>
      <c r="K24" s="35"/>
      <c r="L24" s="35"/>
      <c r="M24" s="35"/>
      <c r="N24" s="35"/>
    </row>
    <row r="25" spans="1:14" x14ac:dyDescent="0.2">
      <c r="A25" s="36" t="s">
        <v>212</v>
      </c>
    </row>
    <row r="26" spans="1:14" x14ac:dyDescent="0.2">
      <c r="A26" s="29" t="s">
        <v>142</v>
      </c>
    </row>
    <row r="27" spans="1:14" x14ac:dyDescent="0.2">
      <c r="A27" s="29" t="s">
        <v>154</v>
      </c>
    </row>
    <row r="28" spans="1:14" ht="16" x14ac:dyDescent="0.2">
      <c r="B28" s="75" t="s">
        <v>587</v>
      </c>
    </row>
    <row r="29" spans="1:14" ht="16" x14ac:dyDescent="0.2">
      <c r="B29" s="75" t="s">
        <v>155</v>
      </c>
    </row>
    <row r="30" spans="1:14" x14ac:dyDescent="0.2">
      <c r="B30" t="s">
        <v>589</v>
      </c>
    </row>
    <row r="31" spans="1:14" x14ac:dyDescent="0.2">
      <c r="B31" t="s">
        <v>588</v>
      </c>
    </row>
    <row r="33" spans="1:4" x14ac:dyDescent="0.2">
      <c r="A33" s="36" t="s">
        <v>213</v>
      </c>
    </row>
    <row r="34" spans="1:4" x14ac:dyDescent="0.2">
      <c r="A34" s="29" t="s">
        <v>148</v>
      </c>
    </row>
    <row r="35" spans="1:4" x14ac:dyDescent="0.2">
      <c r="A35" s="29" t="s">
        <v>31</v>
      </c>
    </row>
    <row r="36" spans="1:4" x14ac:dyDescent="0.2">
      <c r="B36" s="29" t="s">
        <v>1</v>
      </c>
      <c r="C36" s="29" t="s">
        <v>145</v>
      </c>
    </row>
    <row r="37" spans="1:4" x14ac:dyDescent="0.2">
      <c r="B37" s="29" t="s">
        <v>120</v>
      </c>
      <c r="C37" s="37" t="s">
        <v>146</v>
      </c>
      <c r="D37" s="37"/>
    </row>
    <row r="38" spans="1:4" x14ac:dyDescent="0.2">
      <c r="B38" s="29" t="s">
        <v>121</v>
      </c>
      <c r="C38" s="29" t="s">
        <v>143</v>
      </c>
    </row>
    <row r="39" spans="1:4" x14ac:dyDescent="0.2">
      <c r="B39" s="29" t="s">
        <v>122</v>
      </c>
      <c r="C39" s="29" t="s">
        <v>144</v>
      </c>
    </row>
    <row r="41" spans="1:4" x14ac:dyDescent="0.2">
      <c r="A41" s="36" t="s">
        <v>147</v>
      </c>
    </row>
    <row r="42" spans="1:4" x14ac:dyDescent="0.2">
      <c r="A42" s="29" t="s">
        <v>149</v>
      </c>
    </row>
    <row r="43" spans="1:4" x14ac:dyDescent="0.2">
      <c r="A43" s="29" t="s">
        <v>32</v>
      </c>
    </row>
    <row r="44" spans="1:4" x14ac:dyDescent="0.2">
      <c r="B44" s="29" t="s">
        <v>1</v>
      </c>
      <c r="C44" s="29" t="s">
        <v>145</v>
      </c>
    </row>
  </sheetData>
  <sheetProtection algorithmName="SHA-512" hashValue="G+GcHunlzb7hpOW6tdTSwMfq2I/z6oCngr5nWHYsxnmdirnLByiW5etQvkfYMiJkEjBe1V+XHyrLvrNy2kAQhg==" saltValue="1NoXb6tfC/ARIHdYP6C73g==" spinCount="100000" sheet="1" objects="1" scenarios="1" formatCells="0" formatColumns="0"/>
  <mergeCells count="8">
    <mergeCell ref="A22:N22"/>
    <mergeCell ref="A23:N23"/>
    <mergeCell ref="A7:N7"/>
    <mergeCell ref="A8:N8"/>
    <mergeCell ref="A13:N13"/>
    <mergeCell ref="A16:N16"/>
    <mergeCell ref="A18:N18"/>
    <mergeCell ref="A21:N21"/>
  </mergeCells>
  <pageMargins left="0.23622047244094491" right="0.23622047244094491" top="0.74803149606299213" bottom="0.74803149606299213" header="0.31496062992125984" footer="0.31496062992125984"/>
  <pageSetup paperSize="9" orientation="landscape" r:id="rId1"/>
  <headerFooter>
    <oddFooter>&amp;LYG monitoring (pilot)&amp;R&amp;A\&amp;P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6"/>
  <sheetViews>
    <sheetView tabSelected="1" zoomScaleNormal="100" workbookViewId="0">
      <selection activeCell="C30" sqref="C30"/>
    </sheetView>
  </sheetViews>
  <sheetFormatPr baseColWidth="10" defaultColWidth="9.1640625" defaultRowHeight="15" x14ac:dyDescent="0.2"/>
  <cols>
    <col min="1" max="1" width="3.1640625" customWidth="1"/>
    <col min="2" max="2" width="19.5" customWidth="1"/>
    <col min="3" max="4" width="16.5" customWidth="1"/>
    <col min="5" max="5" width="13.5" customWidth="1"/>
    <col min="6" max="6" width="13" customWidth="1"/>
    <col min="7" max="7" width="12.5" customWidth="1"/>
    <col min="8" max="9" width="13.5" customWidth="1"/>
    <col min="10" max="10" width="6.5" customWidth="1"/>
    <col min="11" max="11" width="49.5" style="67" customWidth="1"/>
    <col min="12" max="12" width="3" customWidth="1"/>
    <col min="13" max="13" width="36.5" customWidth="1"/>
  </cols>
  <sheetData>
    <row r="1" spans="1:13" s="11" customFormat="1" ht="19" x14ac:dyDescent="0.25">
      <c r="A1" s="12" t="s">
        <v>117</v>
      </c>
      <c r="K1" s="66"/>
    </row>
    <row r="2" spans="1:13" ht="16" thickBot="1" x14ac:dyDescent="0.25">
      <c r="A2" s="1"/>
    </row>
    <row r="3" spans="1:13" s="90" customFormat="1" ht="20" thickBot="1" x14ac:dyDescent="0.3">
      <c r="A3" s="84" t="s">
        <v>173</v>
      </c>
      <c r="B3" s="85"/>
      <c r="C3" s="85"/>
      <c r="D3" s="230" t="e">
        <f>RefYear_Main</f>
        <v>#REF!</v>
      </c>
      <c r="E3" s="83"/>
      <c r="F3" s="83"/>
      <c r="G3" s="83"/>
      <c r="H3" s="91"/>
      <c r="I3" s="87"/>
      <c r="J3" s="88"/>
      <c r="K3" s="89"/>
    </row>
    <row r="4" spans="1:13" s="90" customFormat="1" ht="11.25" customHeight="1" thickBot="1" x14ac:dyDescent="0.3">
      <c r="A4" s="131"/>
      <c r="B4" s="131"/>
      <c r="C4" s="131"/>
      <c r="D4" s="132"/>
      <c r="E4" s="133"/>
      <c r="F4" s="133"/>
      <c r="G4" s="133"/>
      <c r="H4" s="88"/>
      <c r="I4" s="88"/>
      <c r="J4" s="88"/>
      <c r="K4" s="89"/>
    </row>
    <row r="5" spans="1:13" s="90" customFormat="1" ht="20" thickBot="1" x14ac:dyDescent="0.3">
      <c r="A5" s="134" t="s">
        <v>216</v>
      </c>
      <c r="B5" s="135"/>
      <c r="C5" s="135"/>
      <c r="D5" s="136"/>
      <c r="E5" s="135"/>
      <c r="F5" s="135"/>
      <c r="G5" s="135"/>
      <c r="H5" s="135"/>
      <c r="I5" s="137"/>
      <c r="J5" s="88"/>
      <c r="K5" s="89"/>
    </row>
    <row r="6" spans="1:13" ht="9" customHeight="1" thickBot="1" x14ac:dyDescent="0.25">
      <c r="A6" s="1"/>
    </row>
    <row r="7" spans="1:13" s="18" customFormat="1" ht="15.75" customHeight="1" thickTop="1" x14ac:dyDescent="0.2">
      <c r="A7" s="305" t="s">
        <v>234</v>
      </c>
      <c r="B7" s="306"/>
      <c r="C7" s="313" t="s">
        <v>110</v>
      </c>
      <c r="D7" s="301" t="s">
        <v>111</v>
      </c>
      <c r="E7" s="316" t="s">
        <v>108</v>
      </c>
      <c r="F7" s="317"/>
      <c r="G7" s="317"/>
      <c r="H7" s="317"/>
      <c r="I7" s="318"/>
      <c r="K7" s="65" t="s">
        <v>113</v>
      </c>
      <c r="M7" s="72" t="s">
        <v>114</v>
      </c>
    </row>
    <row r="8" spans="1:13" s="18" customFormat="1" ht="15" customHeight="1" x14ac:dyDescent="0.2">
      <c r="A8" s="307"/>
      <c r="B8" s="308"/>
      <c r="C8" s="314"/>
      <c r="D8" s="273"/>
      <c r="E8" s="311" t="s">
        <v>109</v>
      </c>
      <c r="F8" s="302" t="s">
        <v>217</v>
      </c>
      <c r="G8" s="303"/>
      <c r="H8" s="304"/>
      <c r="I8" s="309" t="s">
        <v>21</v>
      </c>
      <c r="K8" s="262" t="s">
        <v>116</v>
      </c>
      <c r="M8" s="300" t="s">
        <v>115</v>
      </c>
    </row>
    <row r="9" spans="1:13" s="20" customFormat="1" ht="33" customHeight="1" x14ac:dyDescent="0.2">
      <c r="A9" s="307"/>
      <c r="B9" s="308"/>
      <c r="C9" s="315"/>
      <c r="D9" s="64" t="s">
        <v>112</v>
      </c>
      <c r="E9" s="312"/>
      <c r="F9" s="142" t="s">
        <v>3</v>
      </c>
      <c r="G9" s="142" t="s">
        <v>106</v>
      </c>
      <c r="H9" s="142" t="s">
        <v>107</v>
      </c>
      <c r="I9" s="310"/>
      <c r="K9" s="262"/>
      <c r="M9" s="300"/>
    </row>
    <row r="10" spans="1:13" ht="15" hidden="1" customHeight="1" x14ac:dyDescent="0.2">
      <c r="A10" s="14"/>
      <c r="B10" s="15"/>
      <c r="C10" s="16" t="str">
        <f>C7</f>
        <v>Total entrants (§57)</v>
      </c>
      <c r="D10" s="17">
        <f>D8</f>
        <v>0</v>
      </c>
      <c r="E10" s="17" t="str">
        <f>E8</f>
        <v>None</v>
      </c>
      <c r="F10" s="17"/>
      <c r="G10" s="17">
        <f>G8</f>
        <v>0</v>
      </c>
      <c r="H10" s="17">
        <f>H8</f>
        <v>0</v>
      </c>
      <c r="I10" s="62" t="s">
        <v>90</v>
      </c>
      <c r="K10" s="68"/>
      <c r="M10" s="71"/>
    </row>
    <row r="11" spans="1:13" x14ac:dyDescent="0.2">
      <c r="A11" s="4" t="s">
        <v>2</v>
      </c>
      <c r="B11" s="5"/>
      <c r="C11" s="8"/>
      <c r="D11" s="13"/>
      <c r="E11" s="13"/>
      <c r="F11" s="13"/>
      <c r="G11" s="13"/>
      <c r="H11" s="13"/>
      <c r="I11" s="10"/>
      <c r="K11" s="69" t="e" cm="1">
        <f t="array" ref="K11">IF(SUM(IF(C12:I15&lt;(C17:I20+C22:I25),1,0)),"!! Check sum by sex for one or more columns/rows","")</f>
        <v>#REF!</v>
      </c>
      <c r="M11" s="265"/>
    </row>
    <row r="12" spans="1:13" x14ac:dyDescent="0.2">
      <c r="A12" s="2"/>
      <c r="B12" s="6" t="s">
        <v>578</v>
      </c>
      <c r="C12" s="213"/>
      <c r="D12" s="214"/>
      <c r="E12" s="214"/>
      <c r="F12" s="214"/>
      <c r="G12" s="214"/>
      <c r="H12" s="214"/>
      <c r="I12" s="123">
        <f>C12-SUM(E12:F12)</f>
        <v>0</v>
      </c>
      <c r="K12" s="69" t="str">
        <f>IF(D12&gt;C12,"!! Registered unemployed must be &lt;= total entrants",IF(I12&lt;0,"!! Sum by previous YG experience must be &lt;= total entrants",IF(F12&lt;(G12+H12),"!! Check breakdown with previous experience","")))</f>
        <v/>
      </c>
      <c r="M12" s="265"/>
    </row>
    <row r="13" spans="1:13" x14ac:dyDescent="0.2">
      <c r="A13" s="2"/>
      <c r="B13" s="6" t="s">
        <v>6</v>
      </c>
      <c r="C13" s="215"/>
      <c r="D13" s="120"/>
      <c r="E13" s="120"/>
      <c r="F13" s="120"/>
      <c r="G13" s="120"/>
      <c r="H13" s="120"/>
      <c r="I13" s="216">
        <f>C14-SUM(E13:F13)</f>
        <v>0</v>
      </c>
      <c r="K13" s="69" t="str">
        <f>IF(D13&gt;C14,"!! Registered unemployed must be &lt;= total entrants",IF(I13&lt;0,"!! Sum by previous YG experience must be &lt;= total entrants",IF(F13&lt;(G13+H13),"!! Check breakdown with previous experience","")))</f>
        <v/>
      </c>
      <c r="M13" s="265"/>
    </row>
    <row r="14" spans="1:13" x14ac:dyDescent="0.2">
      <c r="A14" s="2"/>
      <c r="B14" s="6" t="s">
        <v>7</v>
      </c>
      <c r="C14" s="119"/>
      <c r="D14" s="120"/>
      <c r="E14" s="120"/>
      <c r="F14" s="120"/>
      <c r="G14" s="120"/>
      <c r="H14" s="120"/>
      <c r="I14" s="216" t="e">
        <f>#REF!-SUM(E14:F14)</f>
        <v>#REF!</v>
      </c>
      <c r="K14" s="69" t="e">
        <f>IF(D14&gt;#REF!,"!! Registered unemployed must be &lt;= total entrants",IF(I14&lt;0,"!! Sum by previous YG experience must be &lt;= total entrants",IF(F14&lt;(G14+H14),"!! Check breakdown with previous experience","")))</f>
        <v>#REF!</v>
      </c>
      <c r="M14" s="265"/>
    </row>
    <row r="15" spans="1:13" x14ac:dyDescent="0.2">
      <c r="A15" s="2"/>
      <c r="B15" s="6" t="s">
        <v>577</v>
      </c>
      <c r="C15" s="119"/>
      <c r="D15" s="120"/>
      <c r="E15" s="120"/>
      <c r="F15" s="120"/>
      <c r="G15" s="120"/>
      <c r="H15" s="120"/>
      <c r="I15" s="123">
        <f>C15-SUM(E15:F15)</f>
        <v>0</v>
      </c>
      <c r="K15" s="69" t="str">
        <f>IF(D15&gt;C15,"!! Registered unemployed must be &lt;= total entrants",IF(I15&lt;0,"!! Sum by previous YG experience must be &lt;= total entrants",IF(F15&lt;(G15+H15),"!! Check breakdown with previous experience","")))</f>
        <v/>
      </c>
      <c r="M15" s="265"/>
    </row>
    <row r="16" spans="1:13" x14ac:dyDescent="0.2">
      <c r="A16" s="4" t="s">
        <v>4</v>
      </c>
      <c r="B16" s="5"/>
      <c r="C16" s="8"/>
      <c r="D16" s="13"/>
      <c r="E16" s="13"/>
      <c r="F16" s="13"/>
      <c r="G16" s="13"/>
      <c r="H16" s="13"/>
      <c r="I16" s="10"/>
      <c r="K16" s="69" t="str" cm="1">
        <f t="array" ref="K16">IF(SUM(IF(C17:I17&lt;(C18:I18+C19:I19+C20:I20),1,0)),"!! Check sum by age for one or more columns","")</f>
        <v/>
      </c>
      <c r="M16" s="265"/>
    </row>
    <row r="17" spans="1:13" x14ac:dyDescent="0.2">
      <c r="A17" s="2"/>
      <c r="B17" s="6" t="s">
        <v>578</v>
      </c>
      <c r="C17" s="213"/>
      <c r="D17" s="214"/>
      <c r="E17" s="214"/>
      <c r="F17" s="214"/>
      <c r="G17" s="214"/>
      <c r="H17" s="214"/>
      <c r="I17" s="123">
        <f t="shared" ref="I17:I20" si="0">C17-SUM(E17:F17)</f>
        <v>0</v>
      </c>
      <c r="K17" s="69" t="str">
        <f>IF(D17&gt;C17,"!! Registered unemployed must be &lt;= total entrants",IF(I17&lt;0,"!! Sum by previous YG experience must be &lt;= total entrants",IF(F17&lt;(G17+H17),"!! Check breakdown with previous experience","")))</f>
        <v/>
      </c>
      <c r="M17" s="265"/>
    </row>
    <row r="18" spans="1:13" x14ac:dyDescent="0.2">
      <c r="A18" s="2"/>
      <c r="B18" s="6" t="s">
        <v>6</v>
      </c>
      <c r="C18" s="119"/>
      <c r="D18" s="120"/>
      <c r="E18" s="120"/>
      <c r="F18" s="120"/>
      <c r="G18" s="120"/>
      <c r="H18" s="120"/>
      <c r="I18" s="123">
        <f t="shared" si="0"/>
        <v>0</v>
      </c>
      <c r="K18" s="69" t="str">
        <f>IF(D18&gt;C18,"!! Registered unemployed must be &lt;= total entrants",IF(I18&lt;0,"!! Sum by previous YG experience must be &lt;= total entrants",IF(F18&lt;(G18+H18),"!! Check breakdown with previous experience","")))</f>
        <v/>
      </c>
      <c r="M18" s="265"/>
    </row>
    <row r="19" spans="1:13" x14ac:dyDescent="0.2">
      <c r="A19" s="2"/>
      <c r="B19" s="6" t="s">
        <v>7</v>
      </c>
      <c r="C19" s="119"/>
      <c r="D19" s="120"/>
      <c r="E19" s="120"/>
      <c r="F19" s="120"/>
      <c r="G19" s="120"/>
      <c r="H19" s="120"/>
      <c r="I19" s="123">
        <f t="shared" si="0"/>
        <v>0</v>
      </c>
      <c r="K19" s="69" t="str">
        <f>IF(D19&gt;C19,"!! Registered unemployed must be &lt;= total entrants",IF(I19&lt;0,"!! Sum by previous YG experience must be &lt;= total entrants",IF(F19&lt;(G19+H19),"!! Check breakdown with previous experience","")))</f>
        <v/>
      </c>
      <c r="M19" s="265"/>
    </row>
    <row r="20" spans="1:13" x14ac:dyDescent="0.2">
      <c r="A20" s="2"/>
      <c r="B20" s="6" t="s">
        <v>577</v>
      </c>
      <c r="C20" s="119"/>
      <c r="D20" s="120"/>
      <c r="E20" s="120"/>
      <c r="F20" s="120"/>
      <c r="G20" s="120"/>
      <c r="H20" s="120"/>
      <c r="I20" s="123">
        <f t="shared" si="0"/>
        <v>0</v>
      </c>
      <c r="K20" s="69" t="str">
        <f>IF(D20&gt;C20,"!! Registered unemployed must be &lt;= total entrants",IF(I20&lt;0,"!! Sum by previous YG experience must be &lt;= total entrants",IF(F20&lt;(G20+H20),"!! Check breakdown with previous experience","")))</f>
        <v/>
      </c>
      <c r="M20" s="265"/>
    </row>
    <row r="21" spans="1:13" x14ac:dyDescent="0.2">
      <c r="A21" s="4" t="s">
        <v>5</v>
      </c>
      <c r="B21" s="5"/>
      <c r="C21" s="8"/>
      <c r="D21" s="13"/>
      <c r="E21" s="13"/>
      <c r="F21" s="13"/>
      <c r="G21" s="13"/>
      <c r="H21" s="13"/>
      <c r="I21" s="10"/>
      <c r="K21" s="69" t="str" cm="1">
        <f t="array" ref="K21">IF(SUM(IF(C22:I22&lt;(C23:I23+C24:I24+C25:I25),1,0)),"!! Check sum by age for one or more columns","")</f>
        <v/>
      </c>
      <c r="M21" s="265"/>
    </row>
    <row r="22" spans="1:13" x14ac:dyDescent="0.2">
      <c r="A22" s="2"/>
      <c r="B22" s="6" t="s">
        <v>578</v>
      </c>
      <c r="C22" s="213"/>
      <c r="D22" s="214"/>
      <c r="E22" s="214"/>
      <c r="F22" s="214"/>
      <c r="G22" s="214"/>
      <c r="H22" s="214"/>
      <c r="I22" s="123">
        <f t="shared" ref="I22:I25" si="1">C22-SUM(E22:F22)</f>
        <v>0</v>
      </c>
      <c r="K22" s="69" t="str">
        <f>IF(D22&gt;C22,"!! Registered unemployed must be &lt;= total entrants",IF(I22&lt;0,"!! Sum by previous YG experience must be &lt;= total entrants",IF(F22&lt;(G22+H22),"!! Check breakdown with previous experience","")))</f>
        <v/>
      </c>
      <c r="M22" s="265"/>
    </row>
    <row r="23" spans="1:13" x14ac:dyDescent="0.2">
      <c r="A23" s="2"/>
      <c r="B23" s="6" t="s">
        <v>6</v>
      </c>
      <c r="C23" s="119"/>
      <c r="D23" s="120"/>
      <c r="E23" s="120"/>
      <c r="F23" s="120"/>
      <c r="G23" s="120"/>
      <c r="H23" s="120"/>
      <c r="I23" s="123">
        <f t="shared" si="1"/>
        <v>0</v>
      </c>
      <c r="K23" s="69" t="str">
        <f>IF(D23&gt;C23,"!! Registered unemployed must be &lt;= total entrants",IF(I23&lt;0,"!! Sum by previous YG experience must be &lt;= total entrants",IF(F23&lt;(G23+H23),"!! Check breakdown with previous experience","")))</f>
        <v/>
      </c>
      <c r="M23" s="265"/>
    </row>
    <row r="24" spans="1:13" x14ac:dyDescent="0.2">
      <c r="A24" s="2"/>
      <c r="B24" s="6" t="s">
        <v>7</v>
      </c>
      <c r="C24" s="119"/>
      <c r="D24" s="120"/>
      <c r="E24" s="120"/>
      <c r="F24" s="120"/>
      <c r="G24" s="120"/>
      <c r="H24" s="120"/>
      <c r="I24" s="123">
        <f t="shared" si="1"/>
        <v>0</v>
      </c>
      <c r="K24" s="69" t="str">
        <f>IF(D24&gt;C24,"!! Registered unemployed must be &lt;= total entrants",IF(I24&lt;0,"!! Sum by previous YG experience must be &lt;= total entrants",IF(F24&lt;(G24+H24),"!! Check breakdown with previous experience","")))</f>
        <v/>
      </c>
      <c r="M24" s="265"/>
    </row>
    <row r="25" spans="1:13" ht="16" thickBot="1" x14ac:dyDescent="0.25">
      <c r="A25" s="3"/>
      <c r="B25" s="7" t="s">
        <v>577</v>
      </c>
      <c r="C25" s="121"/>
      <c r="D25" s="122"/>
      <c r="E25" s="122"/>
      <c r="F25" s="122"/>
      <c r="G25" s="122"/>
      <c r="H25" s="122"/>
      <c r="I25" s="124">
        <f t="shared" si="1"/>
        <v>0</v>
      </c>
      <c r="K25" s="70" t="str">
        <f>IF(D25&gt;C25,"!! Registered unemployed must be &lt;= total entrants",IF(I25&lt;0,"!! Sum by previous YG experience must be &lt;= total entrants",IF(F25&lt;(G25+H25),"!! Check breakdown with previous experience","")))</f>
        <v/>
      </c>
      <c r="M25" s="266"/>
    </row>
    <row r="26" spans="1:13" ht="16" thickTop="1" x14ac:dyDescent="0.2"/>
  </sheetData>
  <sheetProtection algorithmName="SHA-512" hashValue="RnCb5moEZCcNporlk3x7whRy7cOOCYIIGOktk7AdOi8ZuupDDEz/WemjIuVK9hEogObFeUdEIzke6eQrn+WU+A==" saltValue="3LuRigFg/1DZfU952mv1fA==" spinCount="100000" sheet="1" formatCells="0" formatColumns="0" formatRows="0"/>
  <mergeCells count="10">
    <mergeCell ref="A7:B9"/>
    <mergeCell ref="I8:I9"/>
    <mergeCell ref="E8:E9"/>
    <mergeCell ref="C7:C9"/>
    <mergeCell ref="E7:I7"/>
    <mergeCell ref="K8:K9"/>
    <mergeCell ref="M8:M9"/>
    <mergeCell ref="M11:M25"/>
    <mergeCell ref="D7:D8"/>
    <mergeCell ref="F8:H8"/>
  </mergeCells>
  <conditionalFormatting sqref="I12:I25">
    <cfRule type="expression" dxfId="12" priority="4">
      <formula>I12&lt;0</formula>
    </cfRule>
  </conditionalFormatting>
  <pageMargins left="0.23622047244094491" right="0.23622047244094491" top="0.55118110236220474" bottom="0.55118110236220474" header="0.31496062992125984" footer="0.31496062992125984"/>
  <pageSetup paperSize="9" orientation="landscape" r:id="rId1"/>
  <headerFooter>
    <oddFooter>&amp;LYG monitoring (pilot)&amp;R&amp;A\&amp;P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K24"/>
  <sheetViews>
    <sheetView topLeftCell="A3" zoomScaleNormal="100" workbookViewId="0">
      <selection activeCell="D25" sqref="D25"/>
    </sheetView>
  </sheetViews>
  <sheetFormatPr baseColWidth="10" defaultColWidth="9.1640625" defaultRowHeight="15" x14ac:dyDescent="0.2"/>
  <cols>
    <col min="1" max="1" width="3.1640625" customWidth="1"/>
    <col min="2" max="2" width="19.5" customWidth="1"/>
    <col min="3" max="7" width="18.5" customWidth="1"/>
    <col min="8" max="8" width="3.5" customWidth="1"/>
    <col min="9" max="9" width="49.5" style="67" customWidth="1"/>
    <col min="10" max="10" width="3" customWidth="1"/>
    <col min="11" max="11" width="36.5" customWidth="1"/>
  </cols>
  <sheetData>
    <row r="1" spans="1:11" s="11" customFormat="1" ht="19" x14ac:dyDescent="0.25">
      <c r="A1" s="12" t="s">
        <v>151</v>
      </c>
      <c r="I1" s="66"/>
    </row>
    <row r="2" spans="1:11" ht="16" thickBot="1" x14ac:dyDescent="0.25">
      <c r="A2" s="1"/>
    </row>
    <row r="3" spans="1:11" s="90" customFormat="1" ht="20" thickBot="1" x14ac:dyDescent="0.3">
      <c r="A3" s="84" t="s">
        <v>173</v>
      </c>
      <c r="B3" s="85"/>
      <c r="C3" s="85"/>
      <c r="D3" s="230" t="e">
        <f>RefYear_Main</f>
        <v>#REF!</v>
      </c>
      <c r="E3" s="83"/>
      <c r="F3" s="86"/>
      <c r="G3" s="87"/>
      <c r="H3" s="88"/>
      <c r="I3" s="88"/>
      <c r="J3" s="89"/>
    </row>
    <row r="4" spans="1:11" s="90" customFormat="1" ht="20" thickBot="1" x14ac:dyDescent="0.3">
      <c r="A4" s="131"/>
      <c r="B4" s="131"/>
      <c r="C4" s="131"/>
      <c r="D4" s="132"/>
      <c r="E4" s="133"/>
      <c r="F4" s="133"/>
      <c r="G4" s="88"/>
      <c r="H4" s="88"/>
      <c r="I4" s="88"/>
      <c r="J4" s="89"/>
    </row>
    <row r="5" spans="1:11" s="90" customFormat="1" ht="20" thickBot="1" x14ac:dyDescent="0.3">
      <c r="A5" s="134" t="s">
        <v>216</v>
      </c>
      <c r="B5" s="135"/>
      <c r="C5" s="135"/>
      <c r="D5" s="136"/>
      <c r="E5" s="135"/>
      <c r="F5" s="135"/>
      <c r="G5" s="137"/>
      <c r="H5" s="88"/>
      <c r="I5" s="89"/>
    </row>
    <row r="6" spans="1:11" ht="16" thickBot="1" x14ac:dyDescent="0.25">
      <c r="A6" s="1"/>
    </row>
    <row r="7" spans="1:11" s="1" customFormat="1" ht="17" thickTop="1" x14ac:dyDescent="0.2">
      <c r="A7" s="274" t="s">
        <v>118</v>
      </c>
      <c r="B7" s="275"/>
      <c r="C7" s="319" t="s">
        <v>119</v>
      </c>
      <c r="D7" s="320"/>
      <c r="E7" s="320"/>
      <c r="F7" s="320"/>
      <c r="G7" s="321"/>
      <c r="I7" s="65" t="s">
        <v>113</v>
      </c>
      <c r="J7" s="18"/>
      <c r="K7" s="72" t="s">
        <v>114</v>
      </c>
    </row>
    <row r="8" spans="1:11" s="1" customFormat="1" ht="25.5" customHeight="1" x14ac:dyDescent="0.2">
      <c r="A8" s="276"/>
      <c r="B8" s="277"/>
      <c r="C8" s="322"/>
      <c r="D8" s="323"/>
      <c r="E8" s="323"/>
      <c r="F8" s="323"/>
      <c r="G8" s="324"/>
      <c r="I8" s="73" t="s">
        <v>116</v>
      </c>
      <c r="J8" s="18"/>
      <c r="K8" s="300" t="s">
        <v>115</v>
      </c>
    </row>
    <row r="9" spans="1:11" ht="15" customHeight="1" x14ac:dyDescent="0.2">
      <c r="A9" s="4" t="s">
        <v>2</v>
      </c>
      <c r="B9" s="5"/>
      <c r="C9" s="8" t="s">
        <v>3</v>
      </c>
      <c r="D9" s="9" t="s">
        <v>12</v>
      </c>
      <c r="E9" s="13" t="s">
        <v>120</v>
      </c>
      <c r="F9" s="13" t="s">
        <v>121</v>
      </c>
      <c r="G9" s="10" t="s">
        <v>122</v>
      </c>
      <c r="I9" s="69" t="str" cm="1">
        <f t="array" ref="I9">IF(SUM(IF(C10:G13&lt;(C15:G18+C20:G23),1,0)),"!! Check sum by sex for one or more columns/rows","")</f>
        <v/>
      </c>
      <c r="K9" s="300"/>
    </row>
    <row r="10" spans="1:11" x14ac:dyDescent="0.2">
      <c r="A10" s="2"/>
      <c r="B10" s="6" t="s">
        <v>578</v>
      </c>
      <c r="C10" s="217"/>
      <c r="D10" s="218"/>
      <c r="E10" s="219"/>
      <c r="F10" s="219"/>
      <c r="G10" s="220"/>
      <c r="I10" s="69" t="str">
        <f>IF(C10&lt;SUM(D10:G10),"!! Total stocks must be &lt;= sum by duration","")</f>
        <v/>
      </c>
      <c r="K10" s="265"/>
    </row>
    <row r="11" spans="1:11" x14ac:dyDescent="0.2">
      <c r="A11" s="2"/>
      <c r="B11" s="6" t="s">
        <v>6</v>
      </c>
      <c r="C11" s="221"/>
      <c r="D11" s="222"/>
      <c r="E11" s="223"/>
      <c r="F11" s="223"/>
      <c r="G11" s="224"/>
      <c r="I11" s="69" t="str">
        <f>IF(C11&lt;SUM(D11:G11),"!! Total stocks must be &lt;= sum by duration","")</f>
        <v/>
      </c>
      <c r="K11" s="265"/>
    </row>
    <row r="12" spans="1:11" x14ac:dyDescent="0.2">
      <c r="A12" s="2"/>
      <c r="B12" s="6" t="s">
        <v>7</v>
      </c>
      <c r="C12" s="221"/>
      <c r="D12" s="222"/>
      <c r="E12" s="223"/>
      <c r="F12" s="223"/>
      <c r="G12" s="224"/>
      <c r="I12" s="69" t="str">
        <f>IF(C12&lt;SUM(D12:G12),"!! Total stocks must be &lt;= sum by duration","")</f>
        <v/>
      </c>
      <c r="K12" s="265"/>
    </row>
    <row r="13" spans="1:11" x14ac:dyDescent="0.2">
      <c r="A13" s="2"/>
      <c r="B13" s="6" t="s">
        <v>577</v>
      </c>
      <c r="C13" s="221"/>
      <c r="D13" s="222"/>
      <c r="E13" s="223"/>
      <c r="F13" s="223"/>
      <c r="G13" s="224"/>
      <c r="I13" s="69" t="str">
        <f>IF(C13&lt;SUM(D13:G13),"!! Total stocks must be &lt;= sum by duration","")</f>
        <v/>
      </c>
      <c r="K13" s="265"/>
    </row>
    <row r="14" spans="1:11" x14ac:dyDescent="0.2">
      <c r="A14" s="4" t="s">
        <v>4</v>
      </c>
      <c r="B14" s="5"/>
      <c r="C14" s="8" t="str">
        <f t="shared" ref="C14:F14" si="0">C9</f>
        <v>Total</v>
      </c>
      <c r="D14" s="9" t="str">
        <f t="shared" si="0"/>
        <v>&lt;4 months</v>
      </c>
      <c r="E14" s="13" t="str">
        <f t="shared" si="0"/>
        <v>4-5 months</v>
      </c>
      <c r="F14" s="13" t="str">
        <f t="shared" si="0"/>
        <v>6-11 months</v>
      </c>
      <c r="G14" s="10" t="str">
        <f>G9</f>
        <v>12+ months</v>
      </c>
      <c r="I14" s="69" t="str" cm="1">
        <f t="array" ref="I14">IF(SUM(IF(C15:G15&lt;(C16:G16+C17:G17+C18:G18),1,0)),"!! Check sum by age for one or more columns","")</f>
        <v/>
      </c>
      <c r="K14" s="265"/>
    </row>
    <row r="15" spans="1:11" x14ac:dyDescent="0.2">
      <c r="A15" s="2"/>
      <c r="B15" s="6" t="s">
        <v>578</v>
      </c>
      <c r="C15" s="217"/>
      <c r="D15" s="218"/>
      <c r="E15" s="219"/>
      <c r="F15" s="219"/>
      <c r="G15" s="220"/>
      <c r="I15" s="69" t="str">
        <f>IF(C15&lt;SUM(D15:G15),"!! Total stocks must be &lt;= sum by duration","")</f>
        <v/>
      </c>
      <c r="K15" s="265"/>
    </row>
    <row r="16" spans="1:11" x14ac:dyDescent="0.2">
      <c r="A16" s="2"/>
      <c r="B16" s="6" t="s">
        <v>6</v>
      </c>
      <c r="C16" s="221"/>
      <c r="D16" s="222"/>
      <c r="E16" s="222"/>
      <c r="F16" s="222"/>
      <c r="G16" s="224"/>
      <c r="I16" s="69" t="str">
        <f>IF(C16&lt;SUM(D16:G16),"!! Total stocks must be &lt;= sum by duration","")</f>
        <v/>
      </c>
      <c r="K16" s="265"/>
    </row>
    <row r="17" spans="1:11" x14ac:dyDescent="0.2">
      <c r="A17" s="2"/>
      <c r="B17" s="6" t="s">
        <v>7</v>
      </c>
      <c r="C17" s="221"/>
      <c r="D17" s="222"/>
      <c r="E17" s="222"/>
      <c r="F17" s="222"/>
      <c r="G17" s="224"/>
      <c r="I17" s="69" t="str">
        <f>IF(C17&lt;SUM(D17:G17),"!! Total stocks must be &lt;= sum by duration","")</f>
        <v/>
      </c>
      <c r="K17" s="265"/>
    </row>
    <row r="18" spans="1:11" x14ac:dyDescent="0.2">
      <c r="A18" s="2"/>
      <c r="B18" s="6" t="s">
        <v>577</v>
      </c>
      <c r="C18" s="221"/>
      <c r="D18" s="222"/>
      <c r="E18" s="222"/>
      <c r="F18" s="222"/>
      <c r="G18" s="224"/>
      <c r="I18" s="69" t="str">
        <f>IF(C18&lt;SUM(D18:G18),"!! Total stocks must be &lt;= sum by duration","")</f>
        <v/>
      </c>
      <c r="K18" s="265"/>
    </row>
    <row r="19" spans="1:11" x14ac:dyDescent="0.2">
      <c r="A19" s="4" t="s">
        <v>5</v>
      </c>
      <c r="B19" s="5"/>
      <c r="C19" s="8" t="str">
        <f>C9</f>
        <v>Total</v>
      </c>
      <c r="D19" s="9" t="str">
        <f t="shared" ref="D19:G19" si="1">D14</f>
        <v>&lt;4 months</v>
      </c>
      <c r="E19" s="13" t="str">
        <f t="shared" si="1"/>
        <v>4-5 months</v>
      </c>
      <c r="F19" s="13" t="str">
        <f t="shared" si="1"/>
        <v>6-11 months</v>
      </c>
      <c r="G19" s="10" t="str">
        <f t="shared" si="1"/>
        <v>12+ months</v>
      </c>
      <c r="I19" s="69" t="str" cm="1">
        <f t="array" ref="I19">IF(SUM(IF(C20:G20&lt;(C21:G21+C22:G22+C23:G23),1,0)),"!! Check sum by age for one or more columns","")</f>
        <v/>
      </c>
      <c r="K19" s="265"/>
    </row>
    <row r="20" spans="1:11" x14ac:dyDescent="0.2">
      <c r="A20" s="2"/>
      <c r="B20" s="6" t="s">
        <v>578</v>
      </c>
      <c r="C20" s="217"/>
      <c r="D20" s="218"/>
      <c r="E20" s="219"/>
      <c r="F20" s="219"/>
      <c r="G20" s="220"/>
      <c r="I20" s="69" t="str">
        <f>IF(C20&lt;SUM(D20:G20),"!! Total stocks must be &lt;= sum by duration","")</f>
        <v/>
      </c>
      <c r="K20" s="265"/>
    </row>
    <row r="21" spans="1:11" x14ac:dyDescent="0.2">
      <c r="A21" s="2"/>
      <c r="B21" s="6" t="s">
        <v>6</v>
      </c>
      <c r="C21" s="221"/>
      <c r="D21" s="223"/>
      <c r="E21" s="223"/>
      <c r="F21" s="223"/>
      <c r="G21" s="224"/>
      <c r="I21" s="69" t="str">
        <f>IF(C21&lt;SUM(D21:G21),"!! Total stocks must be &lt;= sum by duration","")</f>
        <v/>
      </c>
      <c r="K21" s="265"/>
    </row>
    <row r="22" spans="1:11" x14ac:dyDescent="0.2">
      <c r="A22" s="2"/>
      <c r="B22" s="6" t="s">
        <v>7</v>
      </c>
      <c r="C22" s="221"/>
      <c r="D22" s="223"/>
      <c r="E22" s="223"/>
      <c r="F22" s="223"/>
      <c r="G22" s="224"/>
      <c r="I22" s="69" t="str">
        <f>IF(C22&lt;SUM(D22:G22),"!! Total stocks must be &lt;= sum by duration","")</f>
        <v/>
      </c>
      <c r="K22" s="265"/>
    </row>
    <row r="23" spans="1:11" ht="16" thickBot="1" x14ac:dyDescent="0.25">
      <c r="A23" s="3"/>
      <c r="B23" s="7" t="s">
        <v>577</v>
      </c>
      <c r="C23" s="225"/>
      <c r="D23" s="226"/>
      <c r="E23" s="226"/>
      <c r="F23" s="226"/>
      <c r="G23" s="227"/>
      <c r="I23" s="70" t="str">
        <f>IF(C23&lt;SUM(D23:G23),"!! Total stocks must be &lt;= sum by duration","")</f>
        <v/>
      </c>
      <c r="K23" s="266"/>
    </row>
    <row r="24" spans="1:11" ht="16" thickTop="1" x14ac:dyDescent="0.2"/>
  </sheetData>
  <sheetProtection algorithmName="SHA-512" hashValue="/pyRZiwCK6UPqtzjr0Xvi5gsJuAbzZbs5+qAuAbqkWsHNz208SvVxaaUg9QjJ6mAT1sL+6btJNMPCIQOIpk/bg==" saltValue="UG4eSJVyxvhVEiN7as0PhA==" spinCount="100000" sheet="1" formatCells="0" formatColumns="0" formatRows="0"/>
  <mergeCells count="4">
    <mergeCell ref="K8:K9"/>
    <mergeCell ref="C7:G8"/>
    <mergeCell ref="A7:B8"/>
    <mergeCell ref="K10:K23"/>
  </mergeCells>
  <pageMargins left="0.23622047244094491" right="0.23622047244094491" top="0.74803149606299213" bottom="0.74803149606299213" header="0.31496062992125984" footer="0.31496062992125984"/>
  <pageSetup paperSize="9" orientation="landscape" r:id="rId1"/>
  <headerFooter>
    <oddFooter>&amp;LYG monitoring (pilot)&amp;R&amp;A\&amp;P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R44"/>
  <sheetViews>
    <sheetView topLeftCell="A9" zoomScaleNormal="100" workbookViewId="0">
      <selection activeCell="C40" sqref="C40:M43"/>
    </sheetView>
  </sheetViews>
  <sheetFormatPr baseColWidth="10" defaultColWidth="9.1640625" defaultRowHeight="15" x14ac:dyDescent="0.2"/>
  <cols>
    <col min="1" max="1" width="2.5" customWidth="1"/>
    <col min="2" max="2" width="19.5" customWidth="1"/>
    <col min="3" max="3" width="9.5" customWidth="1"/>
    <col min="4" max="4" width="9.83203125" customWidth="1"/>
    <col min="5" max="5" width="10.1640625" customWidth="1"/>
    <col min="6" max="11" width="10.5" customWidth="1"/>
    <col min="12" max="12" width="10" customWidth="1"/>
    <col min="13" max="13" width="9.1640625" bestFit="1" customWidth="1"/>
    <col min="14" max="14" width="10.5" style="31" customWidth="1"/>
    <col min="15" max="15" width="3.5" customWidth="1"/>
    <col min="16" max="16" width="49.5" style="67" customWidth="1"/>
    <col min="17" max="17" width="3" customWidth="1"/>
    <col min="18" max="18" width="36.5" customWidth="1"/>
  </cols>
  <sheetData>
    <row r="1" spans="1:18" s="11" customFormat="1" ht="19" x14ac:dyDescent="0.25">
      <c r="A1" s="12" t="s">
        <v>152</v>
      </c>
      <c r="N1" s="30"/>
      <c r="P1" s="66"/>
    </row>
    <row r="2" spans="1:18" ht="16" thickBot="1" x14ac:dyDescent="0.25">
      <c r="A2" s="1"/>
      <c r="B2" s="63"/>
    </row>
    <row r="3" spans="1:18" s="90" customFormat="1" ht="20" thickBot="1" x14ac:dyDescent="0.3">
      <c r="A3" s="84" t="s">
        <v>173</v>
      </c>
      <c r="B3" s="85"/>
      <c r="C3" s="85"/>
      <c r="D3" s="92"/>
      <c r="E3" s="230" t="e">
        <f>RefYear_Main</f>
        <v>#REF!</v>
      </c>
      <c r="F3" s="83"/>
      <c r="G3" s="83"/>
      <c r="H3" s="91"/>
      <c r="I3" s="91"/>
      <c r="J3" s="91"/>
      <c r="K3" s="91"/>
      <c r="L3" s="91"/>
      <c r="M3" s="91"/>
      <c r="N3" s="87"/>
    </row>
    <row r="4" spans="1:18" s="90" customFormat="1" ht="20" thickBot="1" x14ac:dyDescent="0.3">
      <c r="A4" s="131"/>
      <c r="B4" s="131"/>
      <c r="C4" s="131"/>
      <c r="D4" s="132"/>
      <c r="E4" s="133"/>
      <c r="F4" s="133"/>
      <c r="G4" s="88"/>
      <c r="H4" s="88"/>
      <c r="I4" s="88"/>
      <c r="J4" s="89"/>
    </row>
    <row r="5" spans="1:18" s="90" customFormat="1" ht="20" thickBot="1" x14ac:dyDescent="0.3">
      <c r="A5" s="134" t="s">
        <v>216</v>
      </c>
      <c r="B5" s="135"/>
      <c r="C5" s="135"/>
      <c r="D5" s="136"/>
      <c r="E5" s="135"/>
      <c r="F5" s="135"/>
      <c r="G5" s="135"/>
      <c r="H5" s="135"/>
      <c r="I5" s="135"/>
      <c r="J5" s="135"/>
      <c r="K5" s="135"/>
      <c r="L5" s="135"/>
      <c r="M5" s="135"/>
      <c r="N5" s="137"/>
    </row>
    <row r="6" spans="1:18" ht="16" thickBot="1" x14ac:dyDescent="0.25">
      <c r="A6" s="1"/>
    </row>
    <row r="7" spans="1:18" s="18" customFormat="1" ht="17" thickTop="1" x14ac:dyDescent="0.2">
      <c r="A7" s="274" t="s">
        <v>123</v>
      </c>
      <c r="B7" s="275"/>
      <c r="C7" s="278" t="s">
        <v>92</v>
      </c>
      <c r="D7" s="301" t="s">
        <v>124</v>
      </c>
      <c r="E7" s="301"/>
      <c r="F7" s="301"/>
      <c r="G7" s="301"/>
      <c r="H7" s="301"/>
      <c r="I7" s="301"/>
      <c r="J7" s="301"/>
      <c r="K7" s="301"/>
      <c r="L7" s="301"/>
      <c r="M7" s="316"/>
      <c r="N7" s="325"/>
      <c r="P7" s="65" t="s">
        <v>113</v>
      </c>
      <c r="R7" s="72" t="s">
        <v>114</v>
      </c>
    </row>
    <row r="8" spans="1:18" s="18" customFormat="1" ht="33.75" customHeight="1" x14ac:dyDescent="0.2">
      <c r="A8" s="276"/>
      <c r="B8" s="277"/>
      <c r="C8" s="279"/>
      <c r="D8" s="273" t="s">
        <v>88</v>
      </c>
      <c r="E8" s="273"/>
      <c r="F8" s="273"/>
      <c r="G8" s="273"/>
      <c r="H8" s="273"/>
      <c r="I8" s="273"/>
      <c r="J8" s="273"/>
      <c r="K8" s="273"/>
      <c r="L8" s="284" t="s">
        <v>89</v>
      </c>
      <c r="M8" s="285"/>
      <c r="N8" s="286" t="s">
        <v>21</v>
      </c>
      <c r="P8" s="262" t="s">
        <v>167</v>
      </c>
      <c r="R8" s="300" t="s">
        <v>115</v>
      </c>
    </row>
    <row r="9" spans="1:18" s="18" customFormat="1" ht="16" thickBot="1" x14ac:dyDescent="0.25">
      <c r="A9" s="276"/>
      <c r="B9" s="277"/>
      <c r="C9" s="280"/>
      <c r="D9" s="273" t="s">
        <v>3</v>
      </c>
      <c r="E9" s="273"/>
      <c r="F9" s="273"/>
      <c r="G9" s="273"/>
      <c r="H9" s="273" t="s">
        <v>19</v>
      </c>
      <c r="I9" s="273"/>
      <c r="J9" s="273"/>
      <c r="K9" s="273"/>
      <c r="L9" s="267" t="s">
        <v>104</v>
      </c>
      <c r="M9" s="267" t="s">
        <v>105</v>
      </c>
      <c r="N9" s="287"/>
      <c r="P9" s="262"/>
      <c r="Q9"/>
      <c r="R9" s="300"/>
    </row>
    <row r="10" spans="1:18" s="20" customFormat="1" ht="33" thickBot="1" x14ac:dyDescent="0.25">
      <c r="A10" s="276"/>
      <c r="B10" s="277"/>
      <c r="C10" s="19" t="s">
        <v>3</v>
      </c>
      <c r="D10" s="33" t="s">
        <v>100</v>
      </c>
      <c r="E10" s="33" t="s">
        <v>101</v>
      </c>
      <c r="F10" s="33" t="s">
        <v>102</v>
      </c>
      <c r="G10" s="33" t="s">
        <v>103</v>
      </c>
      <c r="H10" s="33" t="s">
        <v>93</v>
      </c>
      <c r="I10" s="33" t="s">
        <v>94</v>
      </c>
      <c r="J10" s="33" t="s">
        <v>95</v>
      </c>
      <c r="K10" s="33" t="s">
        <v>96</v>
      </c>
      <c r="L10" s="267"/>
      <c r="M10" s="267"/>
      <c r="N10" s="287"/>
      <c r="P10" s="263"/>
      <c r="Q10"/>
      <c r="R10" s="264"/>
    </row>
    <row r="11" spans="1:18" x14ac:dyDescent="0.2">
      <c r="A11" s="21" t="s">
        <v>24</v>
      </c>
      <c r="B11" s="22"/>
      <c r="C11" s="23"/>
      <c r="D11" s="24"/>
      <c r="E11" s="25"/>
      <c r="F11" s="25"/>
      <c r="G11" s="25"/>
      <c r="H11" s="25"/>
      <c r="I11" s="25"/>
      <c r="J11" s="25"/>
      <c r="K11" s="25"/>
      <c r="L11" s="25"/>
      <c r="M11" s="25"/>
      <c r="N11" s="32"/>
      <c r="P11" s="69" t="str" cm="1">
        <f t="array" ref="P11">IF(SUM(IF(C13:M26&lt;C30:M43,1,0)),"!! Exits within 4 months must &lt;= total exits in all cases","")</f>
        <v/>
      </c>
      <c r="R11" s="265"/>
    </row>
    <row r="12" spans="1:18" x14ac:dyDescent="0.2">
      <c r="A12" s="4" t="s">
        <v>97</v>
      </c>
      <c r="B12" s="5"/>
      <c r="C12" s="39" t="s">
        <v>3</v>
      </c>
      <c r="D12" s="40" t="s">
        <v>15</v>
      </c>
      <c r="E12" s="40" t="s">
        <v>16</v>
      </c>
      <c r="F12" s="40" t="s">
        <v>17</v>
      </c>
      <c r="G12" s="40" t="s">
        <v>18</v>
      </c>
      <c r="H12" s="40" t="str">
        <f>D$12 &amp; " (subsidised)"</f>
        <v>Employment (subsidised)</v>
      </c>
      <c r="I12" s="40" t="str">
        <f t="shared" ref="I12:K12" si="0">E$12 &amp; " (subsidised)"</f>
        <v>Education (subsidised)</v>
      </c>
      <c r="J12" s="40" t="str">
        <f t="shared" si="0"/>
        <v>Apprenticeship (subsidised)</v>
      </c>
      <c r="K12" s="40" t="str">
        <f t="shared" si="0"/>
        <v>Traineeship (subsidised)</v>
      </c>
      <c r="L12" s="40" t="s">
        <v>20</v>
      </c>
      <c r="M12" s="41" t="s">
        <v>91</v>
      </c>
      <c r="N12" s="42" t="s">
        <v>21</v>
      </c>
      <c r="P12" s="69" t="str" cm="1">
        <f t="array" ref="P12">IF(SUM(IF(C13:M16&lt;(C18:M21+C23:M26),1,0)),"!! Check sum by sex for one or more columns/rows","")</f>
        <v/>
      </c>
      <c r="R12" s="265"/>
    </row>
    <row r="13" spans="1:18" x14ac:dyDescent="0.2">
      <c r="A13" s="2"/>
      <c r="B13" s="6" t="s">
        <v>578</v>
      </c>
      <c r="C13" s="228"/>
      <c r="D13" s="228"/>
      <c r="E13" s="228"/>
      <c r="F13" s="228"/>
      <c r="G13" s="228"/>
      <c r="H13" s="228"/>
      <c r="I13" s="228"/>
      <c r="J13" s="228"/>
      <c r="K13" s="228"/>
      <c r="L13" s="228"/>
      <c r="M13" s="228"/>
      <c r="N13" s="123">
        <f>C13-SUM(D13:G13,L13:M13)</f>
        <v>0</v>
      </c>
      <c r="P13" s="69" t="str" cm="1">
        <f t="array" ref="P13">IF(C13&lt;SUM(D13:G13,L13:M13),"!! Total exits must be &gt;= sum by destination",IF(SUM(IF(H13:K13&gt;D13:G13,1,0))&gt;0,"!! Exits to subs. dests. must be &lt;= total to destination",""))</f>
        <v/>
      </c>
      <c r="R13" s="265"/>
    </row>
    <row r="14" spans="1:18" x14ac:dyDescent="0.2">
      <c r="A14" s="2"/>
      <c r="B14" s="6" t="s">
        <v>6</v>
      </c>
      <c r="C14" s="127"/>
      <c r="D14" s="127"/>
      <c r="E14" s="127"/>
      <c r="F14" s="127"/>
      <c r="G14" s="127"/>
      <c r="H14" s="127"/>
      <c r="I14" s="127"/>
      <c r="J14" s="127"/>
      <c r="K14" s="127"/>
      <c r="L14" s="127"/>
      <c r="M14" s="127"/>
      <c r="N14" s="123">
        <f>C14-SUM(D14:G14,L14:M14)</f>
        <v>0</v>
      </c>
      <c r="P14" s="69" t="str" cm="1">
        <f t="array" ref="P14">IF(C14&lt;SUM(D14:G14,L14:M14),"!! Total exits must be &gt;= sum by destination",IF(SUM(IF(H14:K14&gt;D14:G14,1,0))&gt;0,"!! Exits to subs. dests. must be &lt;= total to destination",""))</f>
        <v/>
      </c>
      <c r="R14" s="265"/>
    </row>
    <row r="15" spans="1:18" x14ac:dyDescent="0.2">
      <c r="A15" s="2"/>
      <c r="B15" s="6" t="s">
        <v>7</v>
      </c>
      <c r="C15" s="127"/>
      <c r="D15" s="127"/>
      <c r="E15" s="127"/>
      <c r="F15" s="127"/>
      <c r="G15" s="127"/>
      <c r="H15" s="127"/>
      <c r="I15" s="127"/>
      <c r="J15" s="127"/>
      <c r="K15" s="127"/>
      <c r="L15" s="127"/>
      <c r="M15" s="127"/>
      <c r="N15" s="123">
        <f>C15-SUM(D15:G15,L15:M15)</f>
        <v>0</v>
      </c>
      <c r="P15" s="69" t="str" cm="1">
        <f t="array" ref="P15">IF(C15&lt;SUM(D15:G15,L15:M15),"!! Total exits must be &gt;= sum by destination",IF(SUM(IF(H15:K15&gt;D15:G15,1,0))&gt;0,"!! Exits to subs. dests. must be &lt;= total to destination",""))</f>
        <v/>
      </c>
      <c r="R15" s="265"/>
    </row>
    <row r="16" spans="1:18" x14ac:dyDescent="0.2">
      <c r="A16" s="2"/>
      <c r="B16" s="6" t="s">
        <v>577</v>
      </c>
      <c r="C16" s="127"/>
      <c r="D16" s="127"/>
      <c r="E16" s="127"/>
      <c r="F16" s="127"/>
      <c r="G16" s="127"/>
      <c r="H16" s="127"/>
      <c r="I16" s="127"/>
      <c r="J16" s="127"/>
      <c r="K16" s="127"/>
      <c r="L16" s="127"/>
      <c r="M16" s="127"/>
      <c r="N16" s="123">
        <f>C16-SUM(D16:G16,L16:M16)</f>
        <v>0</v>
      </c>
      <c r="P16" s="69" t="str" cm="1">
        <f t="array" ref="P16">IF(C16&lt;SUM(D16:G16,L16:M16),"!! Total exits must be &gt;= sum by destination",IF(SUM(IF(H16:K16&gt;D16:G16,1,0))&gt;0,"!! Exits to subs. dests. must be &lt;= total to destination",""))</f>
        <v/>
      </c>
      <c r="R16" s="265"/>
    </row>
    <row r="17" spans="1:18" x14ac:dyDescent="0.2">
      <c r="A17" s="4" t="s">
        <v>4</v>
      </c>
      <c r="B17" s="5"/>
      <c r="C17" s="39" t="str">
        <f>C$12</f>
        <v>Total</v>
      </c>
      <c r="D17" s="40" t="str">
        <f t="shared" ref="D17:N17" si="1">D$12</f>
        <v>Employment</v>
      </c>
      <c r="E17" s="40" t="str">
        <f t="shared" si="1"/>
        <v>Education</v>
      </c>
      <c r="F17" s="40" t="str">
        <f t="shared" si="1"/>
        <v>Apprenticeship</v>
      </c>
      <c r="G17" s="40" t="str">
        <f t="shared" si="1"/>
        <v>Traineeship</v>
      </c>
      <c r="H17" s="40" t="str">
        <f t="shared" si="1"/>
        <v>Employment (subsidised)</v>
      </c>
      <c r="I17" s="40" t="str">
        <f t="shared" si="1"/>
        <v>Education (subsidised)</v>
      </c>
      <c r="J17" s="40" t="str">
        <f t="shared" si="1"/>
        <v>Apprenticeship (subsidised)</v>
      </c>
      <c r="K17" s="40" t="str">
        <f t="shared" si="1"/>
        <v>Traineeship (subsidised)</v>
      </c>
      <c r="L17" s="40" t="str">
        <f t="shared" si="1"/>
        <v>Unemployment</v>
      </c>
      <c r="M17" s="41" t="str">
        <f t="shared" si="1"/>
        <v>Inactivity</v>
      </c>
      <c r="N17" s="42" t="str">
        <f t="shared" si="1"/>
        <v>Unknown</v>
      </c>
      <c r="P17" s="69" t="str" cm="1">
        <f t="array" ref="P17">IF(SUM(IF(C18:M18&lt;(C19:M19+C20:M20+C21:M21),1,0)),"!! Check sum by age for one or more columns","")</f>
        <v/>
      </c>
      <c r="R17" s="265"/>
    </row>
    <row r="18" spans="1:18" x14ac:dyDescent="0.2">
      <c r="A18" s="2"/>
      <c r="B18" s="6" t="s">
        <v>578</v>
      </c>
      <c r="C18" s="228"/>
      <c r="D18" s="228"/>
      <c r="E18" s="228"/>
      <c r="F18" s="228"/>
      <c r="G18" s="228"/>
      <c r="H18" s="228"/>
      <c r="I18" s="228"/>
      <c r="J18" s="228"/>
      <c r="K18" s="228"/>
      <c r="L18" s="228"/>
      <c r="M18" s="228"/>
      <c r="N18" s="123">
        <f>C18-SUM(D18:G18,L18:M18)</f>
        <v>0</v>
      </c>
      <c r="P18" s="69" t="str" cm="1">
        <f t="array" ref="P18">IF(C18&lt;SUM(D18:G18,L18:M18),"!! Total exits must be &gt;= sum by destination",IF(SUM(IF(H18:K18&gt;D18:G18,1,0))&gt;0,"!! Exits to subs. dests. must be &lt;= total to destination",""))</f>
        <v/>
      </c>
      <c r="R18" s="265"/>
    </row>
    <row r="19" spans="1:18" x14ac:dyDescent="0.2">
      <c r="A19" s="2"/>
      <c r="B19" s="6" t="s">
        <v>6</v>
      </c>
      <c r="C19" s="127"/>
      <c r="D19" s="127"/>
      <c r="E19" s="127"/>
      <c r="F19" s="127"/>
      <c r="G19" s="127"/>
      <c r="H19" s="127"/>
      <c r="I19" s="127"/>
      <c r="J19" s="127"/>
      <c r="K19" s="127"/>
      <c r="L19" s="127"/>
      <c r="M19" s="127"/>
      <c r="N19" s="123">
        <f>C19-SUM(D19:G19,L19:M19)</f>
        <v>0</v>
      </c>
      <c r="P19" s="69" t="str" cm="1">
        <f t="array" ref="P19">IF(C19&lt;SUM(D19:G19,L19:M19),"!! Total exits must be &gt;= sum by destination",IF(SUM(IF(H19:K19&gt;D19:G19,1,0))&gt;0,"!! Exits to subs. dests. must be &lt;= total to destination",""))</f>
        <v/>
      </c>
      <c r="R19" s="265"/>
    </row>
    <row r="20" spans="1:18" x14ac:dyDescent="0.2">
      <c r="A20" s="2"/>
      <c r="B20" s="6" t="s">
        <v>7</v>
      </c>
      <c r="C20" s="127"/>
      <c r="D20" s="127"/>
      <c r="E20" s="127"/>
      <c r="F20" s="127"/>
      <c r="G20" s="127"/>
      <c r="H20" s="127"/>
      <c r="I20" s="127"/>
      <c r="J20" s="127"/>
      <c r="K20" s="127"/>
      <c r="L20" s="127"/>
      <c r="M20" s="127"/>
      <c r="N20" s="123">
        <f>C20-SUM(D20:G20,L20:M20)</f>
        <v>0</v>
      </c>
      <c r="P20" s="69" t="str" cm="1">
        <f t="array" ref="P20">IF(C20&lt;SUM(D20:G20,L20:M20),"!! Total exits must be &gt;= sum by destination",IF(SUM(IF(H20:K20&gt;D20:G20,1,0))&gt;0,"!! Exits to subs. dests. must be &lt;= total to destination",""))</f>
        <v/>
      </c>
      <c r="R20" s="265"/>
    </row>
    <row r="21" spans="1:18" x14ac:dyDescent="0.2">
      <c r="A21" s="2"/>
      <c r="B21" s="6" t="s">
        <v>577</v>
      </c>
      <c r="C21" s="127"/>
      <c r="D21" s="127"/>
      <c r="E21" s="127"/>
      <c r="F21" s="127"/>
      <c r="G21" s="127"/>
      <c r="H21" s="127"/>
      <c r="I21" s="127"/>
      <c r="J21" s="127"/>
      <c r="K21" s="127"/>
      <c r="L21" s="127"/>
      <c r="M21" s="127"/>
      <c r="N21" s="123">
        <f>C21-SUM(D21:G21,L21:M21)</f>
        <v>0</v>
      </c>
      <c r="P21" s="69" t="str" cm="1">
        <f t="array" ref="P21">IF(C21&lt;SUM(D21:G21,L21:M21),"!! Total exits must be &gt;= sum by destination",IF(SUM(IF(H21:K21&gt;D21:G21,1,0))&gt;0,"!! Exits to subs. dests. must be &lt;= total to destination",""))</f>
        <v/>
      </c>
      <c r="R21" s="265"/>
    </row>
    <row r="22" spans="1:18" x14ac:dyDescent="0.2">
      <c r="A22" s="4" t="s">
        <v>5</v>
      </c>
      <c r="B22" s="5"/>
      <c r="C22" s="39" t="str">
        <f t="shared" ref="C22:N22" si="2">C$12</f>
        <v>Total</v>
      </c>
      <c r="D22" s="40" t="str">
        <f t="shared" si="2"/>
        <v>Employment</v>
      </c>
      <c r="E22" s="40" t="str">
        <f t="shared" si="2"/>
        <v>Education</v>
      </c>
      <c r="F22" s="40" t="str">
        <f t="shared" si="2"/>
        <v>Apprenticeship</v>
      </c>
      <c r="G22" s="40" t="str">
        <f t="shared" si="2"/>
        <v>Traineeship</v>
      </c>
      <c r="H22" s="40" t="str">
        <f t="shared" si="2"/>
        <v>Employment (subsidised)</v>
      </c>
      <c r="I22" s="40" t="str">
        <f t="shared" si="2"/>
        <v>Education (subsidised)</v>
      </c>
      <c r="J22" s="40" t="str">
        <f t="shared" si="2"/>
        <v>Apprenticeship (subsidised)</v>
      </c>
      <c r="K22" s="40" t="str">
        <f t="shared" si="2"/>
        <v>Traineeship (subsidised)</v>
      </c>
      <c r="L22" s="40" t="str">
        <f t="shared" si="2"/>
        <v>Unemployment</v>
      </c>
      <c r="M22" s="41" t="str">
        <f t="shared" si="2"/>
        <v>Inactivity</v>
      </c>
      <c r="N22" s="42" t="str">
        <f t="shared" si="2"/>
        <v>Unknown</v>
      </c>
      <c r="P22" s="69" t="str" cm="1">
        <f t="array" ref="P22">IF(SUM(IF(C23:M23&lt;(C24:M24+C25:M25+C26:M26),1,0)),"!! Check sum by age for one or more columns","")</f>
        <v/>
      </c>
      <c r="R22" s="265"/>
    </row>
    <row r="23" spans="1:18" x14ac:dyDescent="0.2">
      <c r="A23" s="2"/>
      <c r="B23" s="6" t="s">
        <v>578</v>
      </c>
      <c r="C23" s="228"/>
      <c r="D23" s="228"/>
      <c r="E23" s="228"/>
      <c r="F23" s="228"/>
      <c r="G23" s="228"/>
      <c r="H23" s="228"/>
      <c r="I23" s="228"/>
      <c r="J23" s="228"/>
      <c r="K23" s="228"/>
      <c r="L23" s="228"/>
      <c r="M23" s="228"/>
      <c r="N23" s="123">
        <f>C23-SUM(D23:G23,L23:M23)</f>
        <v>0</v>
      </c>
      <c r="P23" s="69" t="str" cm="1">
        <f t="array" ref="P23">IF(C23&lt;SUM(D23:G23,L23:M23),"!! Total exits must be &gt;= sum by destination",IF(SUM(IF(H23:K23&gt;D23:G23,1,0))&gt;0,"!! Exits to subs. dests. must be &lt;= total to destination",""))</f>
        <v/>
      </c>
      <c r="R23" s="265"/>
    </row>
    <row r="24" spans="1:18" x14ac:dyDescent="0.2">
      <c r="A24" s="2"/>
      <c r="B24" s="6" t="s">
        <v>6</v>
      </c>
      <c r="C24" s="127"/>
      <c r="D24" s="127"/>
      <c r="E24" s="127"/>
      <c r="F24" s="127"/>
      <c r="G24" s="127"/>
      <c r="H24" s="127"/>
      <c r="I24" s="127"/>
      <c r="J24" s="127"/>
      <c r="K24" s="127"/>
      <c r="L24" s="127"/>
      <c r="M24" s="127"/>
      <c r="N24" s="123">
        <f>C24-SUM(D24:G24,L24:M24)</f>
        <v>0</v>
      </c>
      <c r="P24" s="69" t="str" cm="1">
        <f t="array" ref="P24">IF(C24&lt;SUM(D24:G24,L24:M24),"!! Total exits must be &gt;= sum by destination",IF(SUM(IF(H24:K24&gt;D24:G24,1,0))&gt;0,"!! Exits to subs. dests. must be &lt;= total to destination",""))</f>
        <v/>
      </c>
      <c r="R24" s="265"/>
    </row>
    <row r="25" spans="1:18" x14ac:dyDescent="0.2">
      <c r="A25" s="2"/>
      <c r="B25" s="6" t="s">
        <v>7</v>
      </c>
      <c r="C25" s="127"/>
      <c r="D25" s="127"/>
      <c r="E25" s="127"/>
      <c r="F25" s="127"/>
      <c r="G25" s="127"/>
      <c r="H25" s="127"/>
      <c r="I25" s="127"/>
      <c r="J25" s="127"/>
      <c r="K25" s="127"/>
      <c r="L25" s="127"/>
      <c r="M25" s="127"/>
      <c r="N25" s="123">
        <f>C25-SUM(D25:G25,L25:M25)</f>
        <v>0</v>
      </c>
      <c r="P25" s="69" t="str" cm="1">
        <f t="array" ref="P25">IF(C25&lt;SUM(D25:G25,L25:M25),"!! Total exits must be &gt;= sum by destination",IF(SUM(IF(H25:K25&gt;D25:G25,1,0))&gt;0,"!! Exits to subs. dests. must be &lt;= total to destination",""))</f>
        <v/>
      </c>
      <c r="R25" s="265"/>
    </row>
    <row r="26" spans="1:18" x14ac:dyDescent="0.2">
      <c r="A26" s="2"/>
      <c r="B26" s="6" t="s">
        <v>577</v>
      </c>
      <c r="C26" s="127"/>
      <c r="D26" s="127"/>
      <c r="E26" s="127"/>
      <c r="F26" s="127"/>
      <c r="G26" s="127"/>
      <c r="H26" s="127"/>
      <c r="I26" s="127"/>
      <c r="J26" s="127"/>
      <c r="K26" s="127"/>
      <c r="L26" s="127"/>
      <c r="M26" s="127"/>
      <c r="N26" s="123">
        <f>C26-SUM(D26:G26,L26:M26)</f>
        <v>0</v>
      </c>
      <c r="P26" s="69" t="str" cm="1">
        <f t="array" ref="P26">IF(C26&lt;SUM(D26:G26,L26:M26),"!! Total exits must be &gt;= sum by destination",IF(SUM(IF(H26:K26&gt;D26:G26,1,0))&gt;0,"!! Exits to subs. dests. must be &lt;= total to destination",""))</f>
        <v/>
      </c>
      <c r="R26" s="265"/>
    </row>
    <row r="27" spans="1:18" x14ac:dyDescent="0.2">
      <c r="A27" s="21" t="s">
        <v>25</v>
      </c>
      <c r="B27" s="22"/>
      <c r="C27" s="23"/>
      <c r="D27" s="24"/>
      <c r="E27" s="25"/>
      <c r="F27" s="25"/>
      <c r="G27" s="25"/>
      <c r="H27" s="25"/>
      <c r="I27" s="25"/>
      <c r="J27" s="25"/>
      <c r="K27" s="25"/>
      <c r="L27" s="25"/>
      <c r="M27" s="25"/>
      <c r="N27" s="32"/>
      <c r="P27" s="69"/>
      <c r="R27" s="265"/>
    </row>
    <row r="28" spans="1:18" ht="15" hidden="1" customHeight="1" x14ac:dyDescent="0.2">
      <c r="A28" s="14" t="str">
        <f>A27</f>
        <v>Exits within 4 months</v>
      </c>
      <c r="B28" s="15"/>
      <c r="C28" s="16" t="e">
        <f>#REF!</f>
        <v>#REF!</v>
      </c>
      <c r="D28" s="16" t="e">
        <f>#REF!</f>
        <v>#REF!</v>
      </c>
      <c r="E28" s="16" t="e">
        <f>#REF!</f>
        <v>#REF!</v>
      </c>
      <c r="F28" s="16" t="e">
        <f>#REF!</f>
        <v>#REF!</v>
      </c>
      <c r="G28" s="16" t="e">
        <f>#REF!</f>
        <v>#REF!</v>
      </c>
      <c r="H28" s="16" t="e">
        <f>#REF!</f>
        <v>#REF!</v>
      </c>
      <c r="I28" s="16" t="e">
        <f>#REF!</f>
        <v>#REF!</v>
      </c>
      <c r="J28" s="16" t="e">
        <f>#REF!</f>
        <v>#REF!</v>
      </c>
      <c r="K28" s="16" t="e">
        <f>#REF!</f>
        <v>#REF!</v>
      </c>
      <c r="L28" s="16" t="e">
        <f>#REF!</f>
        <v>#REF!</v>
      </c>
      <c r="M28" s="16" t="e">
        <f>#REF!</f>
        <v>#REF!</v>
      </c>
      <c r="N28" s="34" t="e">
        <f>#REF!</f>
        <v>#REF!</v>
      </c>
      <c r="P28" s="69"/>
      <c r="Q28" s="18"/>
      <c r="R28" s="265"/>
    </row>
    <row r="29" spans="1:18" x14ac:dyDescent="0.2">
      <c r="A29" s="4" t="s">
        <v>97</v>
      </c>
      <c r="B29" s="5"/>
      <c r="C29" s="39" t="str">
        <f t="shared" ref="C29:N29" si="3">C$12</f>
        <v>Total</v>
      </c>
      <c r="D29" s="40" t="str">
        <f t="shared" si="3"/>
        <v>Employment</v>
      </c>
      <c r="E29" s="40" t="str">
        <f t="shared" si="3"/>
        <v>Education</v>
      </c>
      <c r="F29" s="40" t="str">
        <f t="shared" si="3"/>
        <v>Apprenticeship</v>
      </c>
      <c r="G29" s="40" t="str">
        <f t="shared" si="3"/>
        <v>Traineeship</v>
      </c>
      <c r="H29" s="40" t="str">
        <f t="shared" si="3"/>
        <v>Employment (subsidised)</v>
      </c>
      <c r="I29" s="40" t="str">
        <f t="shared" si="3"/>
        <v>Education (subsidised)</v>
      </c>
      <c r="J29" s="40" t="str">
        <f t="shared" si="3"/>
        <v>Apprenticeship (subsidised)</v>
      </c>
      <c r="K29" s="40" t="str">
        <f t="shared" si="3"/>
        <v>Traineeship (subsidised)</v>
      </c>
      <c r="L29" s="40" t="str">
        <f t="shared" si="3"/>
        <v>Unemployment</v>
      </c>
      <c r="M29" s="41" t="str">
        <f t="shared" si="3"/>
        <v>Inactivity</v>
      </c>
      <c r="N29" s="42" t="str">
        <f t="shared" si="3"/>
        <v>Unknown</v>
      </c>
      <c r="P29" s="69" t="str" cm="1">
        <f t="array" ref="P29">IF(SUM(IF(C30:M33&lt;(C35:M38+C40:M43),1,0)),"!! Check sum by sex for one or more columns/rows","")</f>
        <v/>
      </c>
      <c r="Q29" s="18"/>
      <c r="R29" s="265"/>
    </row>
    <row r="30" spans="1:18" x14ac:dyDescent="0.2">
      <c r="A30" s="2"/>
      <c r="B30" s="6" t="s">
        <v>578</v>
      </c>
      <c r="C30" s="228"/>
      <c r="D30" s="228"/>
      <c r="E30" s="228"/>
      <c r="F30" s="228"/>
      <c r="G30" s="228"/>
      <c r="H30" s="228"/>
      <c r="I30" s="228"/>
      <c r="J30" s="228"/>
      <c r="K30" s="228"/>
      <c r="L30" s="228"/>
      <c r="M30" s="228"/>
      <c r="N30" s="123">
        <f>C30-SUM(D30:G30,L30:M30)</f>
        <v>0</v>
      </c>
      <c r="P30" s="69" t="str" cm="1">
        <f t="array" ref="P30">IF(C30&lt;SUM(D30:G30,L30:M30),"!! Total exits must be &gt;= sum by destination",IF(SUM(IF(H30:K30&gt;D30:G30,1,0))&gt;0,"!! Exits to subs. dests. must be &lt;= total to destination",""))</f>
        <v/>
      </c>
      <c r="Q30" s="18"/>
      <c r="R30" s="265"/>
    </row>
    <row r="31" spans="1:18" x14ac:dyDescent="0.2">
      <c r="A31" s="2"/>
      <c r="B31" s="6" t="s">
        <v>6</v>
      </c>
      <c r="C31" s="127"/>
      <c r="D31" s="127"/>
      <c r="E31" s="127"/>
      <c r="F31" s="127"/>
      <c r="G31" s="127"/>
      <c r="H31" s="127"/>
      <c r="I31" s="127"/>
      <c r="J31" s="127"/>
      <c r="K31" s="127"/>
      <c r="L31" s="127"/>
      <c r="M31" s="127"/>
      <c r="N31" s="123">
        <f>C31-SUM(D31:G31,L31:M31)</f>
        <v>0</v>
      </c>
      <c r="P31" s="69" t="str" cm="1">
        <f t="array" ref="P31">IF(C31&lt;SUM(D31:G31,L31:M31),"!! Total exits must be &gt;= sum by destination",IF(SUM(IF(H31:K31&gt;D31:G31,1,0))&gt;0,"!! Exits to subs. dests. must be &lt;= total to destination",""))</f>
        <v/>
      </c>
      <c r="Q31" s="20"/>
      <c r="R31" s="265"/>
    </row>
    <row r="32" spans="1:18" x14ac:dyDescent="0.2">
      <c r="A32" s="2"/>
      <c r="B32" s="6" t="s">
        <v>7</v>
      </c>
      <c r="C32" s="127"/>
      <c r="D32" s="127"/>
      <c r="E32" s="127"/>
      <c r="F32" s="127"/>
      <c r="G32" s="127"/>
      <c r="H32" s="127"/>
      <c r="I32" s="127"/>
      <c r="J32" s="127"/>
      <c r="K32" s="127"/>
      <c r="L32" s="127"/>
      <c r="M32" s="127"/>
      <c r="N32" s="123">
        <f>C32-SUM(D32:G32,L32:M32)</f>
        <v>0</v>
      </c>
      <c r="P32" s="69" t="str" cm="1">
        <f t="array" ref="P32">IF(C32&lt;SUM(D32:G32,L32:M32),"!! Total exits must be &gt;= sum by destination",IF(SUM(IF(H32:K32&gt;D32:G32,1,0))&gt;0,"!! Exits to subs. dests. must be &lt;= total to destination",""))</f>
        <v/>
      </c>
      <c r="Q32" s="20"/>
      <c r="R32" s="265"/>
    </row>
    <row r="33" spans="1:18" x14ac:dyDescent="0.2">
      <c r="A33" s="2"/>
      <c r="B33" s="6" t="s">
        <v>577</v>
      </c>
      <c r="C33" s="127"/>
      <c r="D33" s="127"/>
      <c r="E33" s="127"/>
      <c r="F33" s="127"/>
      <c r="G33" s="127"/>
      <c r="H33" s="127"/>
      <c r="I33" s="127"/>
      <c r="J33" s="127"/>
      <c r="K33" s="127"/>
      <c r="L33" s="127"/>
      <c r="M33" s="127"/>
      <c r="N33" s="123">
        <f>C33-SUM(D33:G33,L33:M33)</f>
        <v>0</v>
      </c>
      <c r="P33" s="69" t="str" cm="1">
        <f t="array" ref="P33">IF(C33&lt;SUM(D33:G33,L33:M33),"!! Total exits must be &gt;= sum by destination",IF(SUM(IF(H33:K33&gt;D33:G33,1,0))&gt;0,"!! Exits to subs. dests. must be &lt;= total to destination",""))</f>
        <v/>
      </c>
      <c r="Q33" s="20"/>
      <c r="R33" s="265"/>
    </row>
    <row r="34" spans="1:18" x14ac:dyDescent="0.2">
      <c r="A34" s="4" t="s">
        <v>4</v>
      </c>
      <c r="B34" s="5"/>
      <c r="C34" s="39" t="str">
        <f t="shared" ref="C34:N34" si="4">C$12</f>
        <v>Total</v>
      </c>
      <c r="D34" s="40" t="str">
        <f t="shared" si="4"/>
        <v>Employment</v>
      </c>
      <c r="E34" s="40" t="str">
        <f t="shared" si="4"/>
        <v>Education</v>
      </c>
      <c r="F34" s="40" t="str">
        <f t="shared" si="4"/>
        <v>Apprenticeship</v>
      </c>
      <c r="G34" s="40" t="str">
        <f t="shared" si="4"/>
        <v>Traineeship</v>
      </c>
      <c r="H34" s="40" t="str">
        <f t="shared" si="4"/>
        <v>Employment (subsidised)</v>
      </c>
      <c r="I34" s="40" t="str">
        <f t="shared" si="4"/>
        <v>Education (subsidised)</v>
      </c>
      <c r="J34" s="40" t="str">
        <f t="shared" si="4"/>
        <v>Apprenticeship (subsidised)</v>
      </c>
      <c r="K34" s="40" t="str">
        <f t="shared" si="4"/>
        <v>Traineeship (subsidised)</v>
      </c>
      <c r="L34" s="40" t="str">
        <f t="shared" si="4"/>
        <v>Unemployment</v>
      </c>
      <c r="M34" s="41" t="str">
        <f t="shared" si="4"/>
        <v>Inactivity</v>
      </c>
      <c r="N34" s="42" t="str">
        <f t="shared" si="4"/>
        <v>Unknown</v>
      </c>
      <c r="P34" s="69" t="str" cm="1">
        <f t="array" ref="P34">IF(SUM(IF(C35:M35&lt;(C36:M36+C37:M37+C38:M38),1,0)),"!! Check sum by age for one or more columns","")</f>
        <v/>
      </c>
      <c r="R34" s="265"/>
    </row>
    <row r="35" spans="1:18" x14ac:dyDescent="0.2">
      <c r="A35" s="2"/>
      <c r="B35" s="6" t="s">
        <v>578</v>
      </c>
      <c r="C35" s="228"/>
      <c r="D35" s="228"/>
      <c r="E35" s="228"/>
      <c r="F35" s="228"/>
      <c r="G35" s="228"/>
      <c r="H35" s="228"/>
      <c r="I35" s="228"/>
      <c r="J35" s="228"/>
      <c r="K35" s="228"/>
      <c r="L35" s="228"/>
      <c r="M35" s="228"/>
      <c r="N35" s="123">
        <f>C35-SUM(D35:G35,L35:M35)</f>
        <v>0</v>
      </c>
      <c r="P35" s="69" t="str" cm="1">
        <f t="array" ref="P35">IF(C35&lt;SUM(D35:G35,L35:M35),"!! Total exits must be &gt;= sum by destination",IF(SUM(IF(H35:K35&gt;D35:G35,1,0))&gt;0,"!! Exits to subs. dests. must be &lt;= total to destination",""))</f>
        <v/>
      </c>
      <c r="R35" s="265"/>
    </row>
    <row r="36" spans="1:18" x14ac:dyDescent="0.2">
      <c r="A36" s="2"/>
      <c r="B36" s="6" t="s">
        <v>6</v>
      </c>
      <c r="C36" s="125"/>
      <c r="D36" s="126"/>
      <c r="E36" s="126"/>
      <c r="F36" s="126"/>
      <c r="G36" s="126"/>
      <c r="H36" s="126"/>
      <c r="I36" s="126"/>
      <c r="J36" s="126"/>
      <c r="K36" s="126"/>
      <c r="L36" s="126"/>
      <c r="M36" s="126"/>
      <c r="N36" s="123">
        <f>C36-SUM(D36:G36,L36:M36)</f>
        <v>0</v>
      </c>
      <c r="P36" s="69" t="str" cm="1">
        <f t="array" ref="P36">IF(C36&lt;SUM(D36:G36,L36:M36),"!! Total exits must be &gt;= sum by destination",IF(SUM(IF(H36:K36&gt;D36:G36,1,0))&gt;0,"!! Exits to subs. dests. must be &lt;= total to destination",""))</f>
        <v/>
      </c>
      <c r="R36" s="265"/>
    </row>
    <row r="37" spans="1:18" x14ac:dyDescent="0.2">
      <c r="A37" s="2"/>
      <c r="B37" s="6" t="s">
        <v>7</v>
      </c>
      <c r="C37" s="125"/>
      <c r="D37" s="126"/>
      <c r="E37" s="126"/>
      <c r="F37" s="126"/>
      <c r="G37" s="126"/>
      <c r="H37" s="126"/>
      <c r="I37" s="126"/>
      <c r="J37" s="126"/>
      <c r="K37" s="126"/>
      <c r="L37" s="126"/>
      <c r="M37" s="126"/>
      <c r="N37" s="123">
        <f>C37-SUM(D37:G37,L37:M37)</f>
        <v>0</v>
      </c>
      <c r="P37" s="69" t="str" cm="1">
        <f t="array" ref="P37">IF(C37&lt;SUM(D37:G37,L37:M37),"!! Total exits must be &gt;= sum by destination",IF(SUM(IF(H37:K37&gt;D37:G37,1,0))&gt;0,"!! Exits to subs. dests. must be &lt;= total to destination",""))</f>
        <v/>
      </c>
      <c r="R37" s="265"/>
    </row>
    <row r="38" spans="1:18" x14ac:dyDescent="0.2">
      <c r="A38" s="2"/>
      <c r="B38" s="6" t="s">
        <v>577</v>
      </c>
      <c r="C38" s="125"/>
      <c r="D38" s="126"/>
      <c r="E38" s="126"/>
      <c r="F38" s="126"/>
      <c r="G38" s="126"/>
      <c r="H38" s="126"/>
      <c r="I38" s="126"/>
      <c r="J38" s="126"/>
      <c r="K38" s="126"/>
      <c r="L38" s="126"/>
      <c r="M38" s="126"/>
      <c r="N38" s="123">
        <f>C38-SUM(D38:G38,L38:M38)</f>
        <v>0</v>
      </c>
      <c r="P38" s="69" t="str" cm="1">
        <f t="array" ref="P38">IF(C38&lt;SUM(D38:G38,L38:M38),"!! Total exits must be &gt;= sum by destination",IF(SUM(IF(H38:K38&gt;D38:G38,1,0))&gt;0,"!! Exits to subs. dests. must be &lt;= total to destination",""))</f>
        <v/>
      </c>
      <c r="R38" s="265"/>
    </row>
    <row r="39" spans="1:18" x14ac:dyDescent="0.2">
      <c r="A39" s="4" t="s">
        <v>5</v>
      </c>
      <c r="B39" s="5"/>
      <c r="C39" s="39" t="str">
        <f t="shared" ref="C39:N39" si="5">C$12</f>
        <v>Total</v>
      </c>
      <c r="D39" s="40" t="str">
        <f t="shared" si="5"/>
        <v>Employment</v>
      </c>
      <c r="E39" s="40" t="str">
        <f t="shared" si="5"/>
        <v>Education</v>
      </c>
      <c r="F39" s="40" t="str">
        <f t="shared" si="5"/>
        <v>Apprenticeship</v>
      </c>
      <c r="G39" s="40" t="str">
        <f t="shared" si="5"/>
        <v>Traineeship</v>
      </c>
      <c r="H39" s="40" t="str">
        <f t="shared" si="5"/>
        <v>Employment (subsidised)</v>
      </c>
      <c r="I39" s="40" t="str">
        <f t="shared" si="5"/>
        <v>Education (subsidised)</v>
      </c>
      <c r="J39" s="40" t="str">
        <f t="shared" si="5"/>
        <v>Apprenticeship (subsidised)</v>
      </c>
      <c r="K39" s="40" t="str">
        <f t="shared" si="5"/>
        <v>Traineeship (subsidised)</v>
      </c>
      <c r="L39" s="40" t="str">
        <f t="shared" si="5"/>
        <v>Unemployment</v>
      </c>
      <c r="M39" s="41" t="str">
        <f t="shared" si="5"/>
        <v>Inactivity</v>
      </c>
      <c r="N39" s="42" t="str">
        <f t="shared" si="5"/>
        <v>Unknown</v>
      </c>
      <c r="P39" s="69" t="str" cm="1">
        <f t="array" ref="P39">IF(SUM(IF(C40:M40&lt;(C41:M41+C42:M42+C43:M43),1,0)),"!! Check sum by age for one or more columns","")</f>
        <v/>
      </c>
      <c r="R39" s="265"/>
    </row>
    <row r="40" spans="1:18" x14ac:dyDescent="0.2">
      <c r="A40" s="2"/>
      <c r="B40" s="6" t="s">
        <v>578</v>
      </c>
      <c r="C40" s="228"/>
      <c r="D40" s="228"/>
      <c r="E40" s="228"/>
      <c r="F40" s="228"/>
      <c r="G40" s="228"/>
      <c r="H40" s="228"/>
      <c r="I40" s="228"/>
      <c r="J40" s="228"/>
      <c r="K40" s="228"/>
      <c r="L40" s="228"/>
      <c r="M40" s="228"/>
      <c r="N40" s="123">
        <f>C40-SUM(D40:G40,L40:M40)</f>
        <v>0</v>
      </c>
      <c r="P40" s="69" t="str" cm="1">
        <f t="array" ref="P40">IF(C40&lt;SUM(D40:G40,L40:M40),"!! Total exits must be &gt;= sum by destination",IF(SUM(IF(H40:K40&gt;D40:G40,1,0))&gt;0,"!! Exits to subs. dests. must be &lt;= total to destination",""))</f>
        <v/>
      </c>
      <c r="R40" s="265"/>
    </row>
    <row r="41" spans="1:18" x14ac:dyDescent="0.2">
      <c r="A41" s="2"/>
      <c r="B41" s="6" t="s">
        <v>6</v>
      </c>
      <c r="C41" s="125"/>
      <c r="D41" s="126"/>
      <c r="E41" s="126"/>
      <c r="F41" s="126"/>
      <c r="G41" s="126"/>
      <c r="H41" s="126"/>
      <c r="I41" s="126"/>
      <c r="J41" s="126"/>
      <c r="K41" s="126"/>
      <c r="L41" s="126"/>
      <c r="M41" s="126"/>
      <c r="N41" s="123">
        <f>C41-SUM(D41:G41,L41:M41)</f>
        <v>0</v>
      </c>
      <c r="P41" s="69" t="str" cm="1">
        <f t="array" ref="P41">IF(C41&lt;SUM(D41:G41,L41:M41),"!! Total exits must be &gt;= sum by destination",IF(SUM(IF(H41:K41&gt;D41:G41,1,0))&gt;0,"!! Exits to subs. dests. must be &lt;= total to destination",""))</f>
        <v/>
      </c>
      <c r="R41" s="265"/>
    </row>
    <row r="42" spans="1:18" x14ac:dyDescent="0.2">
      <c r="A42" s="2"/>
      <c r="B42" s="6" t="s">
        <v>7</v>
      </c>
      <c r="C42" s="125"/>
      <c r="D42" s="126"/>
      <c r="E42" s="126"/>
      <c r="F42" s="126"/>
      <c r="G42" s="126"/>
      <c r="H42" s="126"/>
      <c r="I42" s="126"/>
      <c r="J42" s="126"/>
      <c r="K42" s="126"/>
      <c r="L42" s="126"/>
      <c r="M42" s="126"/>
      <c r="N42" s="123">
        <f>C42-SUM(D42:G42,L42:M42)</f>
        <v>0</v>
      </c>
      <c r="P42" s="69" t="str" cm="1">
        <f t="array" ref="P42">IF(C42&lt;SUM(D42:G42,L42:M42),"!! Total exits must be &gt;= sum by destination",IF(SUM(IF(H42:K42&gt;D42:G42,1,0))&gt;0,"!! Exits to subs. dests. must be &lt;= total to destination",""))</f>
        <v/>
      </c>
      <c r="R42" s="265"/>
    </row>
    <row r="43" spans="1:18" ht="16" thickBot="1" x14ac:dyDescent="0.25">
      <c r="A43" s="3"/>
      <c r="B43" s="6" t="s">
        <v>577</v>
      </c>
      <c r="C43" s="229"/>
      <c r="D43" s="229"/>
      <c r="E43" s="229"/>
      <c r="F43" s="229"/>
      <c r="G43" s="229"/>
      <c r="H43" s="229"/>
      <c r="I43" s="229"/>
      <c r="J43" s="229"/>
      <c r="K43" s="229"/>
      <c r="L43" s="229"/>
      <c r="M43" s="229"/>
      <c r="N43" s="124">
        <f>C43-SUM(D43:G43,L43:M43)</f>
        <v>0</v>
      </c>
      <c r="P43" s="70" t="str">
        <f t="array" ref="P43">IF(C43&lt;SUM(D43:G43,L43:M43),"!! Total exits must be &gt;= sum by destination",IF(SUM(IF(H43:K43&gt;D43:G43,1,0))&gt;0,"!! Exits to subs. dests. must be &lt;= total to destination",""))</f>
        <v/>
      </c>
      <c r="R43" s="266"/>
    </row>
    <row r="44" spans="1:18" ht="16" thickTop="1" x14ac:dyDescent="0.2"/>
  </sheetData>
  <sheetProtection algorithmName="SHA-512" hashValue="07hCgxQ8DoYMKekDbgVYiHsTN8n2+YKAIL7kMl5lfuwqF5UbWNjqE54gU7ADYpJsMX0IvJ1yrlfUQ8mqYjceTg==" saltValue="D1FCp8WJD6jiBfhDpxU2hw==" spinCount="100000" sheet="1" formatCells="0" formatColumns="0" formatRows="0"/>
  <mergeCells count="13">
    <mergeCell ref="A7:B10"/>
    <mergeCell ref="R8:R9"/>
    <mergeCell ref="N8:N10"/>
    <mergeCell ref="D8:K8"/>
    <mergeCell ref="D9:G9"/>
    <mergeCell ref="H9:K9"/>
    <mergeCell ref="C7:C9"/>
    <mergeCell ref="D7:N7"/>
    <mergeCell ref="P8:P10"/>
    <mergeCell ref="R10:R43"/>
    <mergeCell ref="M9:M10"/>
    <mergeCell ref="L9:L10"/>
    <mergeCell ref="L8:M8"/>
  </mergeCells>
  <conditionalFormatting sqref="N13:N43">
    <cfRule type="expression" dxfId="11" priority="2">
      <formula>N13&lt;0</formula>
    </cfRule>
  </conditionalFormatting>
  <pageMargins left="0.23622047244094491" right="0.23622047244094491" top="0.35433070866141736" bottom="0.55118110236220474" header="0.31496062992125984" footer="0.11811023622047245"/>
  <pageSetup paperSize="9" scale="80" orientation="landscape" r:id="rId1"/>
  <headerFooter>
    <oddFooter>&amp;LYG monitoring (pilot)&amp;R&amp;A\&amp;P</oddFooter>
  </headerFooter>
  <colBreaks count="1" manualBreakCount="1">
    <brk id="14"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BK67"/>
  <sheetViews>
    <sheetView topLeftCell="A15" zoomScale="75" zoomScaleNormal="130" zoomScaleSheetLayoutView="50" workbookViewId="0">
      <selection activeCell="AY46" sqref="AY46:BF49"/>
    </sheetView>
  </sheetViews>
  <sheetFormatPr baseColWidth="10" defaultColWidth="9.1640625" defaultRowHeight="15" x14ac:dyDescent="0.2"/>
  <cols>
    <col min="1" max="1" width="2.5" customWidth="1"/>
    <col min="2" max="2" width="19.5" customWidth="1"/>
    <col min="3" max="3" width="9.5" customWidth="1"/>
    <col min="4" max="4" width="9.83203125" customWidth="1"/>
    <col min="5" max="5" width="10.1640625" customWidth="1"/>
    <col min="6" max="7" width="10.5" customWidth="1"/>
    <col min="8" max="8" width="10" customWidth="1"/>
    <col min="9" max="9" width="9.1640625" bestFit="1" customWidth="1"/>
    <col min="10" max="10" width="9.83203125" customWidth="1"/>
    <col min="11" max="11" width="10.5" style="31" customWidth="1"/>
    <col min="13" max="13" width="2.5" customWidth="1"/>
    <col min="14" max="14" width="19.83203125" customWidth="1"/>
    <col min="15" max="15" width="10.83203125" customWidth="1"/>
    <col min="16" max="16" width="9.83203125" customWidth="1"/>
    <col min="17" max="17" width="10.1640625" customWidth="1"/>
    <col min="18" max="19" width="10.5" customWidth="1"/>
    <col min="20" max="20" width="10" customWidth="1"/>
    <col min="21" max="21" width="9.1640625" bestFit="1" customWidth="1"/>
    <col min="22" max="22" width="9.83203125" customWidth="1"/>
    <col min="23" max="23" width="10.5" style="31" customWidth="1"/>
    <col min="25" max="25" width="2.5" customWidth="1"/>
    <col min="26" max="26" width="19.5" customWidth="1"/>
    <col min="27" max="27" width="9.5" customWidth="1"/>
    <col min="28" max="28" width="10.5" customWidth="1"/>
    <col min="29" max="29" width="10.1640625" customWidth="1"/>
    <col min="30" max="31" width="10.5" customWidth="1"/>
    <col min="32" max="32" width="10" customWidth="1"/>
    <col min="33" max="33" width="9.1640625" customWidth="1"/>
    <col min="34" max="34" width="10.1640625" customWidth="1"/>
    <col min="35" max="35" width="10.5" style="31" customWidth="1"/>
    <col min="36" max="36" width="9.1640625" customWidth="1"/>
    <col min="37" max="37" width="2.5" customWidth="1"/>
    <col min="38" max="38" width="20" customWidth="1"/>
    <col min="39" max="39" width="11.5" customWidth="1"/>
    <col min="40" max="40" width="9.83203125" customWidth="1"/>
    <col min="41" max="41" width="10.1640625" customWidth="1"/>
    <col min="42" max="43" width="10.5" customWidth="1"/>
    <col min="44" max="44" width="10" customWidth="1"/>
    <col min="45" max="45" width="9.1640625" customWidth="1"/>
    <col min="46" max="46" width="9.83203125" customWidth="1"/>
    <col min="47" max="47" width="10.5" style="31" customWidth="1"/>
    <col min="49" max="49" width="2.5" customWidth="1"/>
    <col min="50" max="50" width="19.83203125" customWidth="1"/>
    <col min="51" max="51" width="10.83203125" customWidth="1"/>
    <col min="52" max="52" width="9.83203125" customWidth="1"/>
    <col min="53" max="53" width="10.1640625" customWidth="1"/>
    <col min="54" max="55" width="10.5" customWidth="1"/>
    <col min="56" max="56" width="10" customWidth="1"/>
    <col min="57" max="57" width="9.1640625" bestFit="1" customWidth="1"/>
    <col min="58" max="58" width="9.83203125" customWidth="1"/>
    <col min="59" max="59" width="10.5" style="31" customWidth="1"/>
    <col min="60" max="60" width="3.5" customWidth="1"/>
    <col min="61" max="61" width="49.5" style="67" customWidth="1"/>
    <col min="62" max="62" width="3.5" customWidth="1"/>
    <col min="63" max="63" width="36.5" customWidth="1"/>
  </cols>
  <sheetData>
    <row r="1" spans="1:63" s="11" customFormat="1" ht="19" x14ac:dyDescent="0.25">
      <c r="A1" s="12" t="s">
        <v>201</v>
      </c>
      <c r="K1" s="30"/>
      <c r="M1" s="12"/>
      <c r="W1" s="30"/>
      <c r="Y1" s="12"/>
      <c r="AI1" s="30"/>
      <c r="AK1" s="12"/>
      <c r="AU1" s="30"/>
      <c r="AW1" s="12"/>
      <c r="BG1" s="30"/>
      <c r="BI1" s="66"/>
    </row>
    <row r="2" spans="1:63" ht="16" thickBot="1" x14ac:dyDescent="0.25">
      <c r="A2" s="1"/>
      <c r="B2" s="63"/>
    </row>
    <row r="3" spans="1:63" ht="19" x14ac:dyDescent="0.25">
      <c r="A3" s="93" t="s">
        <v>169</v>
      </c>
      <c r="B3" s="94"/>
      <c r="C3" s="94"/>
      <c r="D3" s="94"/>
      <c r="E3" s="94"/>
      <c r="F3" s="97" t="e">
        <f>RefYear_Main</f>
        <v>#REF!</v>
      </c>
      <c r="G3" s="95"/>
      <c r="H3" s="95"/>
      <c r="I3" s="95"/>
      <c r="J3" s="95"/>
      <c r="K3" s="96"/>
      <c r="M3" s="288" t="s">
        <v>187</v>
      </c>
      <c r="N3" s="289"/>
      <c r="O3" s="289"/>
      <c r="P3" s="289"/>
      <c r="Q3" s="289"/>
      <c r="R3" s="289"/>
      <c r="S3" s="289"/>
      <c r="T3" s="289"/>
      <c r="U3" s="289"/>
      <c r="V3" s="289"/>
      <c r="W3" s="290"/>
      <c r="BH3" s="90"/>
      <c r="BI3" s="90"/>
    </row>
    <row r="4" spans="1:63" ht="19" x14ac:dyDescent="0.25">
      <c r="A4" s="130" t="s">
        <v>214</v>
      </c>
      <c r="B4" s="77"/>
      <c r="C4" s="77"/>
      <c r="D4" s="77"/>
      <c r="E4" s="77"/>
      <c r="F4" s="77"/>
      <c r="G4" s="77"/>
      <c r="H4" s="77"/>
      <c r="I4" s="77"/>
      <c r="J4" s="77"/>
      <c r="K4" s="79"/>
      <c r="M4" s="291"/>
      <c r="N4" s="292"/>
      <c r="O4" s="292"/>
      <c r="P4" s="292"/>
      <c r="Q4" s="292"/>
      <c r="R4" s="292"/>
      <c r="S4" s="292"/>
      <c r="T4" s="292"/>
      <c r="U4" s="292"/>
      <c r="V4" s="292"/>
      <c r="W4" s="293"/>
      <c r="BH4" s="90"/>
      <c r="BI4" s="90"/>
    </row>
    <row r="5" spans="1:63" ht="19" x14ac:dyDescent="0.25">
      <c r="A5" s="78"/>
      <c r="B5" s="77" t="s">
        <v>170</v>
      </c>
      <c r="C5" s="153" t="e">
        <f ca="1">IF(12*(YEAR(NOW())-$F$3)+MONTH(NOW())&lt;7,"Partial (some ""Not applicable"")","Yes")</f>
        <v>#REF!</v>
      </c>
      <c r="D5" s="77"/>
      <c r="E5" s="77"/>
      <c r="F5" s="77"/>
      <c r="G5" s="77"/>
      <c r="H5" s="77"/>
      <c r="I5" s="77"/>
      <c r="J5" s="77"/>
      <c r="K5" s="79"/>
      <c r="M5" s="291"/>
      <c r="N5" s="292"/>
      <c r="O5" s="292"/>
      <c r="P5" s="292"/>
      <c r="Q5" s="292"/>
      <c r="R5" s="292"/>
      <c r="S5" s="292"/>
      <c r="T5" s="292"/>
      <c r="U5" s="292"/>
      <c r="V5" s="292"/>
      <c r="W5" s="293"/>
      <c r="BH5" s="90"/>
      <c r="BI5" s="90"/>
    </row>
    <row r="6" spans="1:63" x14ac:dyDescent="0.2">
      <c r="A6" s="78"/>
      <c r="B6" s="77" t="s">
        <v>171</v>
      </c>
      <c r="C6" s="153" t="e">
        <f ca="1">IF(12*(YEAR(NOW())-$F$3)+MONTH(NOW())&lt;13,"No", IF(12*(YEAR(NOW())-$F$3)+MONTH(NOW())&lt;25,"Partial (some ""Not applicable"")","Yes"))</f>
        <v>#REF!</v>
      </c>
      <c r="D6" s="77"/>
      <c r="E6" s="77"/>
      <c r="F6" s="77"/>
      <c r="G6" s="77"/>
      <c r="H6" s="77"/>
      <c r="I6" s="77"/>
      <c r="J6" s="77"/>
      <c r="K6" s="79"/>
      <c r="M6" s="291"/>
      <c r="N6" s="292"/>
      <c r="O6" s="292"/>
      <c r="P6" s="292"/>
      <c r="Q6" s="292"/>
      <c r="R6" s="292"/>
      <c r="S6" s="292"/>
      <c r="T6" s="292"/>
      <c r="U6" s="292"/>
      <c r="V6" s="292"/>
      <c r="W6" s="293"/>
    </row>
    <row r="7" spans="1:63" ht="16" thickBot="1" x14ac:dyDescent="0.25">
      <c r="A7" s="80"/>
      <c r="B7" s="81" t="s">
        <v>172</v>
      </c>
      <c r="C7" s="231" t="e">
        <f ca="1">IF(12*(YEAR(NOW())-$F$3)+MONTH(NOW())&lt;19,"No", IF(12*(YEAR(NOW())-$F$3)+MONTH(NOW())&lt;31,"Partial (some ""Not applicable"")","Yes"))</f>
        <v>#REF!</v>
      </c>
      <c r="D7" s="81"/>
      <c r="E7" s="81"/>
      <c r="F7" s="81"/>
      <c r="G7" s="81"/>
      <c r="H7" s="81"/>
      <c r="I7" s="81"/>
      <c r="J7" s="81"/>
      <c r="K7" s="82"/>
      <c r="M7" s="294"/>
      <c r="N7" s="295"/>
      <c r="O7" s="295"/>
      <c r="P7" s="295"/>
      <c r="Q7" s="295"/>
      <c r="R7" s="295"/>
      <c r="S7" s="295"/>
      <c r="T7" s="295"/>
      <c r="U7" s="295"/>
      <c r="V7" s="295"/>
      <c r="W7" s="296"/>
      <c r="BH7" s="18"/>
    </row>
    <row r="8" spans="1:63" ht="16" thickBot="1" x14ac:dyDescent="0.25">
      <c r="A8" s="133"/>
      <c r="B8" s="133"/>
      <c r="C8" s="138"/>
      <c r="D8" s="133"/>
      <c r="E8" s="133"/>
      <c r="F8" s="133"/>
      <c r="G8" s="133"/>
      <c r="H8" s="133"/>
      <c r="I8" s="133"/>
      <c r="J8" s="133"/>
      <c r="K8" s="139"/>
      <c r="M8" s="140"/>
      <c r="N8" s="140"/>
      <c r="O8" s="140"/>
      <c r="P8" s="133"/>
      <c r="Q8" s="140"/>
      <c r="R8" s="140"/>
      <c r="S8" s="140"/>
      <c r="T8" s="140"/>
      <c r="U8" s="140"/>
      <c r="V8" s="133"/>
      <c r="W8" s="140"/>
      <c r="AB8" s="140"/>
      <c r="AD8" s="140"/>
      <c r="AE8" s="140"/>
      <c r="AF8" s="140"/>
      <c r="AG8" s="140"/>
      <c r="AI8" s="141"/>
      <c r="AU8" s="141"/>
      <c r="BG8" s="141"/>
      <c r="BH8" s="18"/>
      <c r="BI8"/>
    </row>
    <row r="9" spans="1:63" s="90" customFormat="1" ht="19" x14ac:dyDescent="0.25">
      <c r="A9" s="145" t="s">
        <v>222</v>
      </c>
      <c r="B9" s="146"/>
      <c r="C9" s="146"/>
      <c r="D9" s="147"/>
      <c r="E9" s="146"/>
      <c r="F9" s="146"/>
      <c r="G9" s="146"/>
      <c r="H9" s="146"/>
      <c r="I9" s="146"/>
      <c r="J9" s="146"/>
      <c r="K9" s="148"/>
      <c r="P9" s="147"/>
      <c r="V9" s="146"/>
      <c r="BH9" s="18"/>
    </row>
    <row r="10" spans="1:63" s="90" customFormat="1" ht="20" thickBot="1" x14ac:dyDescent="0.3">
      <c r="A10" s="154" t="s">
        <v>223</v>
      </c>
      <c r="B10" s="149"/>
      <c r="C10" s="149"/>
      <c r="D10" s="150"/>
      <c r="E10" s="149"/>
      <c r="F10" s="149"/>
      <c r="G10" s="149"/>
      <c r="H10" s="149"/>
      <c r="I10" s="149"/>
      <c r="J10" s="149"/>
      <c r="K10" s="151"/>
      <c r="P10" s="150"/>
      <c r="V10" s="149"/>
      <c r="BH10" s="20"/>
    </row>
    <row r="11" spans="1:63" x14ac:dyDescent="0.2">
      <c r="A11" s="143"/>
      <c r="B11" s="143"/>
      <c r="C11" s="143"/>
      <c r="D11" s="144"/>
      <c r="E11" s="143"/>
      <c r="F11" s="143"/>
      <c r="G11" s="143"/>
      <c r="H11" s="143"/>
      <c r="I11" s="143"/>
      <c r="J11" s="143"/>
      <c r="K11" s="143"/>
      <c r="P11" s="144"/>
      <c r="V11" s="143"/>
      <c r="W11" s="141"/>
      <c r="AI11" s="141"/>
      <c r="AU11" s="141"/>
      <c r="BG11" s="141"/>
      <c r="BI11"/>
    </row>
    <row r="12" spans="1:63" ht="31.5" customHeight="1" thickBot="1" x14ac:dyDescent="0.25">
      <c r="A12" s="272" t="s">
        <v>606</v>
      </c>
      <c r="B12" s="272"/>
      <c r="C12" s="272"/>
      <c r="D12" s="272"/>
      <c r="E12" s="272"/>
      <c r="F12" s="272"/>
      <c r="G12" s="272"/>
      <c r="H12" s="272"/>
      <c r="I12" s="272"/>
      <c r="J12" s="272"/>
      <c r="K12" s="272"/>
      <c r="M12" s="272" t="s">
        <v>607</v>
      </c>
      <c r="N12" s="272"/>
      <c r="O12" s="272"/>
      <c r="P12" s="272"/>
      <c r="Q12" s="272"/>
      <c r="R12" s="272"/>
      <c r="S12" s="272"/>
      <c r="T12" s="272"/>
      <c r="U12" s="272"/>
      <c r="V12" s="272"/>
      <c r="W12" s="272"/>
      <c r="Y12" s="272" t="s">
        <v>608</v>
      </c>
      <c r="Z12" s="272"/>
      <c r="AA12" s="272"/>
      <c r="AB12" s="272"/>
      <c r="AC12" s="272"/>
      <c r="AD12" s="272"/>
      <c r="AE12" s="272"/>
      <c r="AF12" s="272"/>
      <c r="AG12" s="272"/>
      <c r="AH12" s="272"/>
      <c r="AI12" s="272"/>
      <c r="AK12" s="272" t="s">
        <v>602</v>
      </c>
      <c r="AL12" s="272"/>
      <c r="AM12" s="272"/>
      <c r="AN12" s="272"/>
      <c r="AO12" s="272"/>
      <c r="AP12" s="272"/>
      <c r="AQ12" s="272"/>
      <c r="AR12" s="272"/>
      <c r="AS12" s="272"/>
      <c r="AT12" s="272"/>
      <c r="AU12" s="272"/>
      <c r="AW12" s="272" t="s">
        <v>609</v>
      </c>
      <c r="AX12" s="272"/>
      <c r="AY12" s="272"/>
      <c r="AZ12" s="272"/>
      <c r="BA12" s="272"/>
      <c r="BB12" s="272"/>
      <c r="BC12" s="272"/>
      <c r="BD12" s="272"/>
      <c r="BE12" s="272"/>
      <c r="BF12" s="272"/>
      <c r="BG12" s="272"/>
    </row>
    <row r="13" spans="1:63" s="18" customFormat="1" ht="15.75" customHeight="1" thickTop="1" x14ac:dyDescent="0.2">
      <c r="A13" s="276" t="s">
        <v>23</v>
      </c>
      <c r="B13" s="277"/>
      <c r="C13" s="279" t="s">
        <v>92</v>
      </c>
      <c r="D13" s="281" t="s">
        <v>161</v>
      </c>
      <c r="E13" s="281"/>
      <c r="F13" s="281"/>
      <c r="G13" s="281"/>
      <c r="H13" s="281"/>
      <c r="I13" s="282"/>
      <c r="J13" s="282"/>
      <c r="K13" s="283"/>
      <c r="M13" s="274" t="s">
        <v>23</v>
      </c>
      <c r="N13" s="275"/>
      <c r="O13" s="278" t="s">
        <v>165</v>
      </c>
      <c r="P13" s="281" t="s">
        <v>161</v>
      </c>
      <c r="Q13" s="281"/>
      <c r="R13" s="281"/>
      <c r="S13" s="281"/>
      <c r="T13" s="281"/>
      <c r="U13" s="282"/>
      <c r="V13" s="282"/>
      <c r="W13" s="283"/>
      <c r="Y13" s="274" t="s">
        <v>23</v>
      </c>
      <c r="Z13" s="275"/>
      <c r="AA13" s="278" t="s">
        <v>164</v>
      </c>
      <c r="AB13" s="281" t="s">
        <v>161</v>
      </c>
      <c r="AC13" s="281"/>
      <c r="AD13" s="281"/>
      <c r="AE13" s="281"/>
      <c r="AF13" s="281"/>
      <c r="AG13" s="282"/>
      <c r="AH13" s="282"/>
      <c r="AI13" s="283"/>
      <c r="AK13" s="274" t="s">
        <v>23</v>
      </c>
      <c r="AL13" s="275"/>
      <c r="AM13" s="278" t="s">
        <v>163</v>
      </c>
      <c r="AN13" s="281" t="s">
        <v>161</v>
      </c>
      <c r="AO13" s="281"/>
      <c r="AP13" s="281"/>
      <c r="AQ13" s="281"/>
      <c r="AR13" s="281"/>
      <c r="AS13" s="282"/>
      <c r="AT13" s="282"/>
      <c r="AU13" s="283"/>
      <c r="AW13" s="274" t="s">
        <v>23</v>
      </c>
      <c r="AX13" s="275"/>
      <c r="AY13" s="278" t="s">
        <v>162</v>
      </c>
      <c r="AZ13" s="281" t="s">
        <v>161</v>
      </c>
      <c r="BA13" s="281"/>
      <c r="BB13" s="281"/>
      <c r="BC13" s="281"/>
      <c r="BD13" s="281"/>
      <c r="BE13" s="282"/>
      <c r="BF13" s="282"/>
      <c r="BG13" s="283"/>
      <c r="BH13"/>
      <c r="BI13" s="65" t="s">
        <v>113</v>
      </c>
      <c r="BK13" s="72" t="s">
        <v>114</v>
      </c>
    </row>
    <row r="14" spans="1:63" s="18" customFormat="1" ht="15" customHeight="1" x14ac:dyDescent="0.2">
      <c r="A14" s="276"/>
      <c r="B14" s="277"/>
      <c r="C14" s="279"/>
      <c r="D14" s="273" t="s">
        <v>160</v>
      </c>
      <c r="E14" s="273"/>
      <c r="F14" s="273"/>
      <c r="G14" s="273"/>
      <c r="H14" s="284" t="s">
        <v>89</v>
      </c>
      <c r="I14" s="285"/>
      <c r="J14" s="268" t="s">
        <v>610</v>
      </c>
      <c r="K14" s="286" t="s">
        <v>21</v>
      </c>
      <c r="M14" s="276"/>
      <c r="N14" s="277"/>
      <c r="O14" s="279"/>
      <c r="P14" s="273" t="s">
        <v>160</v>
      </c>
      <c r="Q14" s="273"/>
      <c r="R14" s="273"/>
      <c r="S14" s="273"/>
      <c r="T14" s="284" t="s">
        <v>89</v>
      </c>
      <c r="U14" s="285"/>
      <c r="V14" s="268" t="s">
        <v>605</v>
      </c>
      <c r="W14" s="286" t="s">
        <v>21</v>
      </c>
      <c r="Y14" s="276"/>
      <c r="Z14" s="277"/>
      <c r="AA14" s="279"/>
      <c r="AB14" s="273" t="s">
        <v>160</v>
      </c>
      <c r="AC14" s="273"/>
      <c r="AD14" s="273"/>
      <c r="AE14" s="273"/>
      <c r="AF14" s="284" t="s">
        <v>89</v>
      </c>
      <c r="AG14" s="285"/>
      <c r="AH14" s="268" t="s">
        <v>221</v>
      </c>
      <c r="AI14" s="286" t="s">
        <v>21</v>
      </c>
      <c r="AK14" s="276"/>
      <c r="AL14" s="277"/>
      <c r="AM14" s="279"/>
      <c r="AN14" s="273" t="s">
        <v>160</v>
      </c>
      <c r="AO14" s="273"/>
      <c r="AP14" s="273"/>
      <c r="AQ14" s="273"/>
      <c r="AR14" s="284" t="s">
        <v>89</v>
      </c>
      <c r="AS14" s="285"/>
      <c r="AT14" s="268" t="s">
        <v>221</v>
      </c>
      <c r="AU14" s="286" t="s">
        <v>21</v>
      </c>
      <c r="AW14" s="276"/>
      <c r="AX14" s="277"/>
      <c r="AY14" s="279"/>
      <c r="AZ14" s="273" t="s">
        <v>160</v>
      </c>
      <c r="BA14" s="273"/>
      <c r="BB14" s="273"/>
      <c r="BC14" s="273"/>
      <c r="BD14" s="284" t="s">
        <v>89</v>
      </c>
      <c r="BE14" s="285"/>
      <c r="BF14" s="268" t="s">
        <v>221</v>
      </c>
      <c r="BG14" s="286" t="s">
        <v>21</v>
      </c>
      <c r="BH14"/>
      <c r="BI14" s="262" t="s">
        <v>167</v>
      </c>
      <c r="BK14" s="270" t="s">
        <v>115</v>
      </c>
    </row>
    <row r="15" spans="1:63" s="18" customFormat="1" ht="15" customHeight="1" x14ac:dyDescent="0.2">
      <c r="A15" s="276"/>
      <c r="B15" s="277"/>
      <c r="C15" s="280"/>
      <c r="D15" s="273" t="s">
        <v>3</v>
      </c>
      <c r="E15" s="273"/>
      <c r="F15" s="273"/>
      <c r="G15" s="273"/>
      <c r="H15" s="267" t="s">
        <v>603</v>
      </c>
      <c r="I15" s="267" t="s">
        <v>604</v>
      </c>
      <c r="J15" s="269"/>
      <c r="K15" s="287"/>
      <c r="M15" s="276"/>
      <c r="N15" s="277"/>
      <c r="O15" s="280"/>
      <c r="P15" s="273" t="s">
        <v>3</v>
      </c>
      <c r="Q15" s="273"/>
      <c r="R15" s="273"/>
      <c r="S15" s="273"/>
      <c r="T15" s="267" t="s">
        <v>104</v>
      </c>
      <c r="U15" s="267" t="s">
        <v>105</v>
      </c>
      <c r="V15" s="269"/>
      <c r="W15" s="287"/>
      <c r="Y15" s="276"/>
      <c r="Z15" s="277"/>
      <c r="AA15" s="280"/>
      <c r="AB15" s="273" t="s">
        <v>3</v>
      </c>
      <c r="AC15" s="273"/>
      <c r="AD15" s="273"/>
      <c r="AE15" s="273"/>
      <c r="AF15" s="267" t="s">
        <v>104</v>
      </c>
      <c r="AG15" s="267" t="s">
        <v>105</v>
      </c>
      <c r="AH15" s="269"/>
      <c r="AI15" s="287"/>
      <c r="AK15" s="276"/>
      <c r="AL15" s="277"/>
      <c r="AM15" s="280"/>
      <c r="AN15" s="273" t="s">
        <v>3</v>
      </c>
      <c r="AO15" s="273"/>
      <c r="AP15" s="273"/>
      <c r="AQ15" s="273"/>
      <c r="AR15" s="267" t="s">
        <v>104</v>
      </c>
      <c r="AS15" s="267" t="s">
        <v>105</v>
      </c>
      <c r="AT15" s="269"/>
      <c r="AU15" s="287"/>
      <c r="AW15" s="276"/>
      <c r="AX15" s="277"/>
      <c r="AY15" s="280"/>
      <c r="AZ15" s="273" t="s">
        <v>3</v>
      </c>
      <c r="BA15" s="273"/>
      <c r="BB15" s="273"/>
      <c r="BC15" s="273"/>
      <c r="BD15" s="267" t="s">
        <v>104</v>
      </c>
      <c r="BE15" s="267" t="s">
        <v>105</v>
      </c>
      <c r="BF15" s="269"/>
      <c r="BG15" s="287"/>
      <c r="BH15"/>
      <c r="BI15" s="262"/>
      <c r="BK15" s="270"/>
    </row>
    <row r="16" spans="1:63" s="20" customFormat="1" ht="65" thickBot="1" x14ac:dyDescent="0.25">
      <c r="A16" s="276"/>
      <c r="B16" s="277"/>
      <c r="C16" s="19" t="s">
        <v>599</v>
      </c>
      <c r="D16" s="33" t="s">
        <v>600</v>
      </c>
      <c r="E16" s="33" t="s">
        <v>601</v>
      </c>
      <c r="F16" s="33" t="s">
        <v>597</v>
      </c>
      <c r="G16" s="33" t="s">
        <v>598</v>
      </c>
      <c r="H16" s="267"/>
      <c r="I16" s="267"/>
      <c r="J16" s="269"/>
      <c r="K16" s="287"/>
      <c r="M16" s="276"/>
      <c r="N16" s="277"/>
      <c r="O16" s="19" t="s">
        <v>599</v>
      </c>
      <c r="P16" s="33" t="s">
        <v>600</v>
      </c>
      <c r="Q16" s="33" t="s">
        <v>601</v>
      </c>
      <c r="R16" s="33" t="s">
        <v>597</v>
      </c>
      <c r="S16" s="33" t="s">
        <v>598</v>
      </c>
      <c r="T16" s="267"/>
      <c r="U16" s="267"/>
      <c r="V16" s="269"/>
      <c r="W16" s="287"/>
      <c r="Y16" s="276"/>
      <c r="Z16" s="277"/>
      <c r="AA16" s="19" t="s">
        <v>599</v>
      </c>
      <c r="AB16" s="33" t="s">
        <v>600</v>
      </c>
      <c r="AC16" s="33" t="s">
        <v>601</v>
      </c>
      <c r="AD16" s="33" t="s">
        <v>597</v>
      </c>
      <c r="AE16" s="33" t="s">
        <v>598</v>
      </c>
      <c r="AF16" s="267"/>
      <c r="AG16" s="267"/>
      <c r="AH16" s="269"/>
      <c r="AI16" s="287"/>
      <c r="AK16" s="276"/>
      <c r="AL16" s="277"/>
      <c r="AM16" s="19" t="s">
        <v>599</v>
      </c>
      <c r="AN16" s="33" t="s">
        <v>600</v>
      </c>
      <c r="AO16" s="33" t="s">
        <v>601</v>
      </c>
      <c r="AP16" s="33" t="s">
        <v>597</v>
      </c>
      <c r="AQ16" s="33" t="s">
        <v>598</v>
      </c>
      <c r="AR16" s="267"/>
      <c r="AS16" s="267"/>
      <c r="AT16" s="269"/>
      <c r="AU16" s="287"/>
      <c r="AW16" s="276"/>
      <c r="AX16" s="277"/>
      <c r="AY16" s="19" t="s">
        <v>599</v>
      </c>
      <c r="AZ16" s="33" t="s">
        <v>600</v>
      </c>
      <c r="BA16" s="33" t="s">
        <v>601</v>
      </c>
      <c r="BB16" s="33" t="s">
        <v>597</v>
      </c>
      <c r="BC16" s="33" t="s">
        <v>598</v>
      </c>
      <c r="BD16" s="267"/>
      <c r="BE16" s="267"/>
      <c r="BF16" s="269"/>
      <c r="BG16" s="287"/>
      <c r="BH16"/>
      <c r="BI16" s="263"/>
      <c r="BK16" s="270"/>
    </row>
    <row r="17" spans="1:63" ht="16" thickBot="1" x14ac:dyDescent="0.25">
      <c r="A17" s="21" t="s">
        <v>159</v>
      </c>
      <c r="B17" s="22"/>
      <c r="C17" s="177"/>
      <c r="D17" s="24"/>
      <c r="E17" s="25"/>
      <c r="F17" s="25"/>
      <c r="G17" s="25"/>
      <c r="H17" s="25"/>
      <c r="I17" s="25"/>
      <c r="J17" s="25"/>
      <c r="K17" s="32"/>
      <c r="M17" s="21" t="s">
        <v>159</v>
      </c>
      <c r="N17" s="22"/>
      <c r="O17" s="177"/>
      <c r="P17" s="24"/>
      <c r="Q17" s="25"/>
      <c r="R17" s="25"/>
      <c r="S17" s="25"/>
      <c r="T17" s="25"/>
      <c r="U17" s="25"/>
      <c r="V17" s="25"/>
      <c r="W17" s="32"/>
      <c r="Y17" s="21" t="s">
        <v>159</v>
      </c>
      <c r="Z17" s="22"/>
      <c r="AA17" s="177"/>
      <c r="AB17" s="25"/>
      <c r="AC17" s="25"/>
      <c r="AD17" s="25"/>
      <c r="AE17" s="25"/>
      <c r="AF17" s="25"/>
      <c r="AG17" s="25"/>
      <c r="AH17" s="25"/>
      <c r="AI17" s="32"/>
      <c r="AK17" s="21" t="s">
        <v>159</v>
      </c>
      <c r="AL17" s="22"/>
      <c r="AM17" s="177"/>
      <c r="AN17" s="24"/>
      <c r="AO17" s="25"/>
      <c r="AP17" s="25"/>
      <c r="AQ17" s="25"/>
      <c r="AR17" s="25"/>
      <c r="AS17" s="25"/>
      <c r="AT17" s="25"/>
      <c r="AU17" s="32"/>
      <c r="AW17" s="21" t="s">
        <v>159</v>
      </c>
      <c r="AX17" s="22"/>
      <c r="AY17" s="23"/>
      <c r="AZ17" s="24"/>
      <c r="BA17" s="25"/>
      <c r="BB17" s="25"/>
      <c r="BC17" s="25"/>
      <c r="BD17" s="25"/>
      <c r="BE17" s="25"/>
      <c r="BF17" s="25"/>
      <c r="BG17" s="32"/>
      <c r="BI17" s="165"/>
      <c r="BK17" s="271"/>
    </row>
    <row r="18" spans="1:63" x14ac:dyDescent="0.2">
      <c r="A18" s="183" t="s">
        <v>97</v>
      </c>
      <c r="B18" s="179"/>
      <c r="C18" s="172" t="s">
        <v>3</v>
      </c>
      <c r="D18" s="180" t="s">
        <v>15</v>
      </c>
      <c r="E18" s="180" t="s">
        <v>16</v>
      </c>
      <c r="F18" s="180" t="s">
        <v>17</v>
      </c>
      <c r="G18" s="180" t="s">
        <v>18</v>
      </c>
      <c r="H18" s="180" t="s">
        <v>20</v>
      </c>
      <c r="I18" s="181" t="s">
        <v>91</v>
      </c>
      <c r="J18" s="181" t="s">
        <v>221</v>
      </c>
      <c r="K18" s="182" t="s">
        <v>21</v>
      </c>
      <c r="M18" s="183" t="s">
        <v>97</v>
      </c>
      <c r="N18" s="179"/>
      <c r="O18" s="172" t="s">
        <v>3</v>
      </c>
      <c r="P18" s="180" t="s">
        <v>15</v>
      </c>
      <c r="Q18" s="180" t="s">
        <v>16</v>
      </c>
      <c r="R18" s="180" t="s">
        <v>17</v>
      </c>
      <c r="S18" s="180" t="s">
        <v>18</v>
      </c>
      <c r="T18" s="180" t="s">
        <v>20</v>
      </c>
      <c r="U18" s="181" t="s">
        <v>91</v>
      </c>
      <c r="V18" s="181" t="s">
        <v>221</v>
      </c>
      <c r="W18" s="182" t="s">
        <v>21</v>
      </c>
      <c r="Y18" s="183" t="s">
        <v>97</v>
      </c>
      <c r="Z18" s="179"/>
      <c r="AA18" s="172" t="s">
        <v>3</v>
      </c>
      <c r="AB18" s="180" t="s">
        <v>17</v>
      </c>
      <c r="AC18" s="180" t="s">
        <v>16</v>
      </c>
      <c r="AD18" s="180" t="s">
        <v>17</v>
      </c>
      <c r="AE18" s="180" t="s">
        <v>18</v>
      </c>
      <c r="AF18" s="180" t="s">
        <v>20</v>
      </c>
      <c r="AG18" s="181" t="s">
        <v>91</v>
      </c>
      <c r="AH18" s="181" t="s">
        <v>221</v>
      </c>
      <c r="AI18" s="182" t="s">
        <v>21</v>
      </c>
      <c r="AK18" s="183" t="s">
        <v>97</v>
      </c>
      <c r="AL18" s="179"/>
      <c r="AM18" s="172" t="s">
        <v>3</v>
      </c>
      <c r="AN18" s="180" t="s">
        <v>16</v>
      </c>
      <c r="AO18" s="180" t="s">
        <v>17</v>
      </c>
      <c r="AP18" s="180" t="s">
        <v>16</v>
      </c>
      <c r="AQ18" s="180" t="s">
        <v>17</v>
      </c>
      <c r="AR18" s="180" t="s">
        <v>18</v>
      </c>
      <c r="AS18" s="181" t="s">
        <v>20</v>
      </c>
      <c r="AT18" s="181" t="s">
        <v>91</v>
      </c>
      <c r="AU18" s="182" t="s">
        <v>21</v>
      </c>
      <c r="AW18" s="183" t="s">
        <v>97</v>
      </c>
      <c r="AX18" s="179"/>
      <c r="AY18" s="172" t="s">
        <v>3</v>
      </c>
      <c r="AZ18" s="180" t="s">
        <v>15</v>
      </c>
      <c r="BA18" s="180" t="s">
        <v>17</v>
      </c>
      <c r="BB18" s="180" t="s">
        <v>17</v>
      </c>
      <c r="BC18" s="180" t="s">
        <v>17</v>
      </c>
      <c r="BD18" s="180" t="s">
        <v>18</v>
      </c>
      <c r="BE18" s="181" t="s">
        <v>91</v>
      </c>
      <c r="BF18" s="181" t="s">
        <v>221</v>
      </c>
      <c r="BG18" s="182" t="s">
        <v>21</v>
      </c>
      <c r="BI18" s="260" t="str" cm="1">
        <f t="array" ref="BI18">IF(OR(SUM(IF(O19:W22&lt;(O24:W27+O29:W32),1,0)),SUM(IF(C19:K22&lt;(C24:K27+C29:K32),1,0)),SUM(IF(AA19:AI22&lt;(AA24:AI27+AA29:AI32),1,0)), SUM(IF(AM19:AU22&lt;(AM24:AU27+AM29:AU32),1,0)), SUM(IF(AY19:BG22&lt;(AY24:BG27+AY29:BG32),1,0))),"!! Check sum by sex for one or more columns/rows","")</f>
        <v/>
      </c>
      <c r="BK18" s="264"/>
    </row>
    <row r="19" spans="1:63" x14ac:dyDescent="0.2">
      <c r="A19" s="2"/>
      <c r="B19" s="6" t="s">
        <v>578</v>
      </c>
      <c r="C19" s="178"/>
      <c r="D19" s="126"/>
      <c r="E19" s="126"/>
      <c r="F19" s="126"/>
      <c r="G19" s="126"/>
      <c r="H19" s="126"/>
      <c r="I19" s="126"/>
      <c r="J19" s="126"/>
      <c r="K19" s="123">
        <f>C19-SUM(D19:G19,H19:I19,J19)</f>
        <v>0</v>
      </c>
      <c r="M19" s="2"/>
      <c r="N19" s="6" t="s">
        <v>578</v>
      </c>
      <c r="O19" s="173"/>
      <c r="P19" s="126"/>
      <c r="Q19" s="126"/>
      <c r="R19" s="126"/>
      <c r="S19" s="126"/>
      <c r="T19" s="126"/>
      <c r="U19" s="126"/>
      <c r="V19" s="126"/>
      <c r="W19" s="123">
        <f>O19-SUM(P19:S19,T19:U19,V19)</f>
        <v>0</v>
      </c>
      <c r="Y19" s="2"/>
      <c r="Z19" s="6" t="s">
        <v>578</v>
      </c>
      <c r="AA19" s="173"/>
      <c r="AB19" s="126"/>
      <c r="AC19" s="126"/>
      <c r="AD19" s="126"/>
      <c r="AE19" s="126"/>
      <c r="AF19" s="126"/>
      <c r="AG19" s="126"/>
      <c r="AH19" s="126"/>
      <c r="AI19" s="123">
        <f>AA19-SUM(AB19:AE19,AF19:AG19,AH19)</f>
        <v>0</v>
      </c>
      <c r="AK19" s="2"/>
      <c r="AL19" s="6" t="s">
        <v>578</v>
      </c>
      <c r="AM19" s="173"/>
      <c r="AN19" s="126"/>
      <c r="AO19" s="126"/>
      <c r="AP19" s="126"/>
      <c r="AQ19" s="126"/>
      <c r="AR19" s="126"/>
      <c r="AS19" s="126"/>
      <c r="AT19" s="126"/>
      <c r="AU19" s="123">
        <f>AM19-SUM(AN19:AQ19,AR19:AS19,AT19)</f>
        <v>0</v>
      </c>
      <c r="AW19" s="2"/>
      <c r="AX19" s="6" t="s">
        <v>578</v>
      </c>
      <c r="AY19" s="173"/>
      <c r="AZ19" s="126"/>
      <c r="BA19" s="126"/>
      <c r="BB19" s="126"/>
      <c r="BC19" s="126"/>
      <c r="BD19" s="126"/>
      <c r="BE19" s="126"/>
      <c r="BF19" s="126"/>
      <c r="BG19" s="123">
        <f>AY19-SUM(AZ19:BC19,BD19:BE19,BF19)</f>
        <v>0</v>
      </c>
      <c r="BI19" s="260" t="str">
        <f>IF(OR(K19&lt;0,W19&lt;0,AI19&lt;0,AU19&lt;0,BG19&lt;0),"!! Total must be &gt;= sum by situation",IF(OR(C19&lt;SUM(O19,AA19,AM19,AY19),D19&lt;SUM(P19,AB19,AN19,AZ19),E19&lt;SUM(Q19,AC19,AO19,BA19),F19&lt;SUM(R19,AD19,AP19,BB19),G19&lt;SUM(S19,AE19,AQ19,BC19),H19&lt;SUM(T19,AF19,AR19,BD19),I19&lt;SUM(U19,AG19,AS19,BE19),J19&lt;SUM(V19,AH19,AT19,BF19)),"!! Values in FU1 must be &gt;= sum of values in FU2 - FU5",""))</f>
        <v/>
      </c>
      <c r="BK19" s="265"/>
    </row>
    <row r="20" spans="1:63" x14ac:dyDescent="0.2">
      <c r="A20" s="2"/>
      <c r="B20" s="6" t="s">
        <v>6</v>
      </c>
      <c r="C20" s="178"/>
      <c r="D20" s="126"/>
      <c r="E20" s="126"/>
      <c r="F20" s="126"/>
      <c r="G20" s="126"/>
      <c r="H20" s="126"/>
      <c r="I20" s="126"/>
      <c r="J20" s="126"/>
      <c r="K20" s="123">
        <f>C20-SUM(D20:G20,H20:I20,J20)</f>
        <v>0</v>
      </c>
      <c r="M20" s="2"/>
      <c r="N20" s="6" t="s">
        <v>6</v>
      </c>
      <c r="O20" s="173"/>
      <c r="P20" s="126"/>
      <c r="Q20" s="126"/>
      <c r="R20" s="126"/>
      <c r="S20" s="126"/>
      <c r="T20" s="126"/>
      <c r="U20" s="126"/>
      <c r="V20" s="126"/>
      <c r="W20" s="123">
        <f t="shared" ref="W20:W22" si="0">O20-SUM(P20:S20,T20:U20,V20)</f>
        <v>0</v>
      </c>
      <c r="Y20" s="2"/>
      <c r="Z20" s="6" t="s">
        <v>6</v>
      </c>
      <c r="AA20" s="173"/>
      <c r="AB20" s="126"/>
      <c r="AC20" s="126"/>
      <c r="AD20" s="126"/>
      <c r="AE20" s="126"/>
      <c r="AF20" s="126"/>
      <c r="AG20" s="126"/>
      <c r="AH20" s="126"/>
      <c r="AI20" s="123">
        <f t="shared" ref="AI20:AI22" si="1">AA20-SUM(AB20:AE20,AF20:AG20,AH20)</f>
        <v>0</v>
      </c>
      <c r="AK20" s="2"/>
      <c r="AL20" s="6" t="s">
        <v>6</v>
      </c>
      <c r="AM20" s="173"/>
      <c r="AN20" s="126"/>
      <c r="AO20" s="126"/>
      <c r="AP20" s="126"/>
      <c r="AQ20" s="126"/>
      <c r="AR20" s="126"/>
      <c r="AS20" s="126"/>
      <c r="AT20" s="127"/>
      <c r="AU20" s="123">
        <f t="shared" ref="AU20:AU22" si="2">AM20-SUM(AN20:AQ20,AR20:AS20,AT20)</f>
        <v>0</v>
      </c>
      <c r="AW20" s="2"/>
      <c r="AX20" s="6" t="s">
        <v>6</v>
      </c>
      <c r="AY20" s="173"/>
      <c r="AZ20" s="126"/>
      <c r="BA20" s="126"/>
      <c r="BB20" s="126"/>
      <c r="BC20" s="126"/>
      <c r="BD20" s="126"/>
      <c r="BE20" s="126"/>
      <c r="BF20" s="126"/>
      <c r="BG20" s="123">
        <f t="shared" ref="BG20:BG22" si="3">AY20-SUM(AZ20:BC20,BD20:BE20,BF20)</f>
        <v>0</v>
      </c>
      <c r="BI20" s="260" t="str">
        <f>IF(OR(K20&lt;0,W20&lt;0,AI20&lt;0,AU20&lt;0,BG20&lt;0),"!! Total must be &gt;= sum by situation",IF(OR(C20&lt;SUM(O20,AA20,AM20,AY20),D20&lt;SUM(P20,AB20,AN20,AZ20),E20&lt;SUM(Q20,AC20,AO20,BA20),F20&lt;SUM(R20,AD20,AP20,BB20),G20&lt;SUM(S20,AE20,AQ20,BC20),H20&lt;SUM(T20,AF20,AR20,BD20),I20&lt;SUM(U20,AG20,AS20,BE20),J20&lt;SUM(V20,AH20,AT20,BF20)),"!! Values in FU1 must be &gt;= sum of values in FU2 - FU5",""))</f>
        <v/>
      </c>
      <c r="BK20" s="265"/>
    </row>
    <row r="21" spans="1:63" x14ac:dyDescent="0.2">
      <c r="A21" s="2"/>
      <c r="B21" s="6" t="s">
        <v>7</v>
      </c>
      <c r="C21" s="178"/>
      <c r="D21" s="126"/>
      <c r="E21" s="126"/>
      <c r="F21" s="126"/>
      <c r="G21" s="126"/>
      <c r="H21" s="126"/>
      <c r="I21" s="126"/>
      <c r="J21" s="126"/>
      <c r="K21" s="123">
        <f>C21-SUM(D21:G21,H21:I21,J21)</f>
        <v>0</v>
      </c>
      <c r="M21" s="2"/>
      <c r="N21" s="6" t="s">
        <v>7</v>
      </c>
      <c r="O21" s="173"/>
      <c r="P21" s="126"/>
      <c r="Q21" s="126"/>
      <c r="R21" s="126"/>
      <c r="S21" s="126"/>
      <c r="T21" s="126"/>
      <c r="U21" s="126"/>
      <c r="V21" s="126"/>
      <c r="W21" s="123">
        <f t="shared" ref="W21" si="4">O21-SUM(P21:S21,T21:U21,V21)</f>
        <v>0</v>
      </c>
      <c r="Y21" s="2"/>
      <c r="Z21" s="6" t="s">
        <v>7</v>
      </c>
      <c r="AA21" s="173"/>
      <c r="AB21" s="126"/>
      <c r="AC21" s="126"/>
      <c r="AD21" s="126"/>
      <c r="AE21" s="126"/>
      <c r="AF21" s="126"/>
      <c r="AG21" s="126"/>
      <c r="AH21" s="127"/>
      <c r="AI21" s="123">
        <f t="shared" ref="AI21" si="5">AA21-SUM(AB21:AE21,AF21:AG21,AH21)</f>
        <v>0</v>
      </c>
      <c r="AK21" s="2"/>
      <c r="AL21" s="6" t="s">
        <v>7</v>
      </c>
      <c r="AM21" s="173"/>
      <c r="AN21" s="126"/>
      <c r="AO21" s="126"/>
      <c r="AP21" s="126"/>
      <c r="AQ21" s="126"/>
      <c r="AR21" s="126"/>
      <c r="AS21" s="126"/>
      <c r="AT21" s="127"/>
      <c r="AU21" s="123">
        <f t="shared" si="2"/>
        <v>0</v>
      </c>
      <c r="AW21" s="2"/>
      <c r="AX21" s="6" t="s">
        <v>7</v>
      </c>
      <c r="AY21" s="173"/>
      <c r="AZ21" s="126"/>
      <c r="BA21" s="126"/>
      <c r="BB21" s="126"/>
      <c r="BC21" s="126"/>
      <c r="BD21" s="126"/>
      <c r="BE21" s="126"/>
      <c r="BF21" s="126"/>
      <c r="BG21" s="123">
        <f t="shared" si="3"/>
        <v>0</v>
      </c>
      <c r="BI21" s="260" t="str">
        <f t="shared" ref="BI21:BI22" si="6">IF(OR(K21&lt;0,W21&lt;0,AI21&lt;0,AU21&lt;0,BG21&lt;0),"!! Total must be &gt;= sum by situation",IF(OR(C21&lt;SUM(O21,AA21,AM21,AY21),D21&lt;SUM(P21,AB21,AN21,AZ21),E21&lt;SUM(Q21,AC21,AO21,BA21),F21&lt;SUM(R21,AD21,AP21,BB21),G21&lt;SUM(S21,AE21,AQ21,BC21),H21&lt;SUM(T21,AF21,AR21,BD21),I21&lt;SUM(U21,AG21,AS21,BE21),J21&lt;SUM(V21,AH21,AT21,BF21)),"!! Values in FU1 must be &gt;= sum of values in FU2 - FU5",""))</f>
        <v/>
      </c>
      <c r="BK21" s="265"/>
    </row>
    <row r="22" spans="1:63" x14ac:dyDescent="0.2">
      <c r="A22" s="2"/>
      <c r="B22" s="6" t="s">
        <v>577</v>
      </c>
      <c r="C22" s="178"/>
      <c r="D22" s="126"/>
      <c r="E22" s="126"/>
      <c r="F22" s="126"/>
      <c r="G22" s="126"/>
      <c r="H22" s="126"/>
      <c r="I22" s="126"/>
      <c r="J22" s="126"/>
      <c r="K22" s="123">
        <f>C22-SUM(D22:G22,H22:I22,J22)</f>
        <v>0</v>
      </c>
      <c r="M22" s="2"/>
      <c r="N22" s="6" t="s">
        <v>577</v>
      </c>
      <c r="O22" s="173"/>
      <c r="P22" s="126"/>
      <c r="Q22" s="126"/>
      <c r="R22" s="126"/>
      <c r="S22" s="126"/>
      <c r="T22" s="126"/>
      <c r="U22" s="126"/>
      <c r="V22" s="126"/>
      <c r="W22" s="123">
        <f t="shared" si="0"/>
        <v>0</v>
      </c>
      <c r="Y22" s="2"/>
      <c r="Z22" s="6" t="s">
        <v>577</v>
      </c>
      <c r="AA22" s="173"/>
      <c r="AB22" s="126"/>
      <c r="AC22" s="126"/>
      <c r="AD22" s="126"/>
      <c r="AE22" s="126"/>
      <c r="AF22" s="126"/>
      <c r="AG22" s="126"/>
      <c r="AH22" s="127"/>
      <c r="AI22" s="123">
        <f t="shared" si="1"/>
        <v>0</v>
      </c>
      <c r="AK22" s="2"/>
      <c r="AL22" s="6" t="s">
        <v>577</v>
      </c>
      <c r="AM22" s="173"/>
      <c r="AN22" s="126"/>
      <c r="AO22" s="126"/>
      <c r="AP22" s="126"/>
      <c r="AQ22" s="126"/>
      <c r="AR22" s="126"/>
      <c r="AS22" s="126"/>
      <c r="AT22" s="127"/>
      <c r="AU22" s="123">
        <f t="shared" si="2"/>
        <v>0</v>
      </c>
      <c r="AW22" s="2"/>
      <c r="AX22" s="6" t="s">
        <v>577</v>
      </c>
      <c r="AY22" s="173"/>
      <c r="AZ22" s="126"/>
      <c r="BA22" s="126"/>
      <c r="BB22" s="126"/>
      <c r="BC22" s="126"/>
      <c r="BD22" s="126"/>
      <c r="BE22" s="126"/>
      <c r="BF22" s="126"/>
      <c r="BG22" s="123">
        <f t="shared" si="3"/>
        <v>0</v>
      </c>
      <c r="BI22" s="260" t="str">
        <f t="shared" si="6"/>
        <v/>
      </c>
      <c r="BK22" s="265"/>
    </row>
    <row r="23" spans="1:63" x14ac:dyDescent="0.2">
      <c r="A23" s="183" t="s">
        <v>4</v>
      </c>
      <c r="B23" s="179"/>
      <c r="C23" s="172" t="str">
        <f t="shared" ref="C23:K23" si="7">C$18</f>
        <v>Total</v>
      </c>
      <c r="D23" s="180" t="str">
        <f>D$18</f>
        <v>Employment</v>
      </c>
      <c r="E23" s="180" t="str">
        <f t="shared" ref="E23:J23" si="8">E$18</f>
        <v>Education</v>
      </c>
      <c r="F23" s="180" t="str">
        <f t="shared" si="8"/>
        <v>Apprenticeship</v>
      </c>
      <c r="G23" s="180" t="str">
        <f t="shared" si="8"/>
        <v>Traineeship</v>
      </c>
      <c r="H23" s="180" t="str">
        <f t="shared" si="8"/>
        <v>Unemployment</v>
      </c>
      <c r="I23" s="180" t="str">
        <f t="shared" si="8"/>
        <v>Inactivity</v>
      </c>
      <c r="J23" s="180" t="str">
        <f t="shared" si="8"/>
        <v>Not applicable</v>
      </c>
      <c r="K23" s="182" t="str">
        <f t="shared" si="7"/>
        <v>Unknown</v>
      </c>
      <c r="M23" s="183" t="s">
        <v>4</v>
      </c>
      <c r="N23" s="179"/>
      <c r="O23" s="172" t="str">
        <f t="shared" ref="O23:V23" si="9">O$18</f>
        <v>Total</v>
      </c>
      <c r="P23" s="180" t="str">
        <f>P$18</f>
        <v>Employment</v>
      </c>
      <c r="Q23" s="180" t="str">
        <f t="shared" si="9"/>
        <v>Education</v>
      </c>
      <c r="R23" s="180" t="str">
        <f t="shared" si="9"/>
        <v>Apprenticeship</v>
      </c>
      <c r="S23" s="180" t="str">
        <f t="shared" si="9"/>
        <v>Traineeship</v>
      </c>
      <c r="T23" s="180" t="str">
        <f t="shared" si="9"/>
        <v>Unemployment</v>
      </c>
      <c r="U23" s="181" t="str">
        <f t="shared" si="9"/>
        <v>Inactivity</v>
      </c>
      <c r="V23" s="180" t="str">
        <f t="shared" si="9"/>
        <v>Not applicable</v>
      </c>
      <c r="W23" s="182" t="str">
        <f t="shared" ref="W23" si="10">W$18</f>
        <v>Unknown</v>
      </c>
      <c r="Y23" s="183" t="s">
        <v>4</v>
      </c>
      <c r="Z23" s="179"/>
      <c r="AA23" s="172" t="str">
        <f t="shared" ref="AA23:AH23" si="11">AA$18</f>
        <v>Total</v>
      </c>
      <c r="AB23" s="180" t="str">
        <f t="shared" si="11"/>
        <v>Apprenticeship</v>
      </c>
      <c r="AC23" s="180" t="str">
        <f t="shared" si="11"/>
        <v>Education</v>
      </c>
      <c r="AD23" s="180" t="str">
        <f t="shared" si="11"/>
        <v>Apprenticeship</v>
      </c>
      <c r="AE23" s="180" t="str">
        <f t="shared" si="11"/>
        <v>Traineeship</v>
      </c>
      <c r="AF23" s="180" t="str">
        <f t="shared" si="11"/>
        <v>Unemployment</v>
      </c>
      <c r="AG23" s="181" t="str">
        <f t="shared" si="11"/>
        <v>Inactivity</v>
      </c>
      <c r="AH23" s="181" t="str">
        <f t="shared" si="11"/>
        <v>Not applicable</v>
      </c>
      <c r="AI23" s="182" t="str">
        <f t="shared" ref="AI23" si="12">AI$18</f>
        <v>Unknown</v>
      </c>
      <c r="AK23" s="183" t="s">
        <v>4</v>
      </c>
      <c r="AL23" s="179"/>
      <c r="AM23" s="172" t="str">
        <f t="shared" ref="AM23" si="13">AM$18</f>
        <v>Total</v>
      </c>
      <c r="AN23" s="180" t="str">
        <f t="shared" ref="AN23:AT23" si="14">AN$18</f>
        <v>Education</v>
      </c>
      <c r="AO23" s="180" t="str">
        <f t="shared" si="14"/>
        <v>Apprenticeship</v>
      </c>
      <c r="AP23" s="180" t="str">
        <f t="shared" si="14"/>
        <v>Education</v>
      </c>
      <c r="AQ23" s="180" t="str">
        <f t="shared" si="14"/>
        <v>Apprenticeship</v>
      </c>
      <c r="AR23" s="180" t="str">
        <f t="shared" si="14"/>
        <v>Traineeship</v>
      </c>
      <c r="AS23" s="181" t="str">
        <f t="shared" si="14"/>
        <v>Unemployment</v>
      </c>
      <c r="AT23" s="181" t="str">
        <f t="shared" si="14"/>
        <v>Inactivity</v>
      </c>
      <c r="AU23" s="182" t="str">
        <f t="shared" ref="AU23" si="15">AU$18</f>
        <v>Unknown</v>
      </c>
      <c r="AW23" s="183" t="s">
        <v>4</v>
      </c>
      <c r="AX23" s="179"/>
      <c r="AY23" s="172" t="str">
        <f t="shared" ref="AY23" si="16">AY$18</f>
        <v>Total</v>
      </c>
      <c r="AZ23" s="180"/>
      <c r="BA23" s="180" t="str">
        <f t="shared" ref="BA23" si="17">BA$18</f>
        <v>Apprenticeship</v>
      </c>
      <c r="BB23" s="180"/>
      <c r="BC23" s="180" t="str">
        <f t="shared" ref="BC23:BD23" si="18">BC$18</f>
        <v>Apprenticeship</v>
      </c>
      <c r="BD23" s="180" t="str">
        <f t="shared" si="18"/>
        <v>Traineeship</v>
      </c>
      <c r="BE23" s="181"/>
      <c r="BF23" s="181"/>
      <c r="BG23" s="182" t="str">
        <f t="shared" ref="BG23" si="19">BG$18</f>
        <v>Unknown</v>
      </c>
      <c r="BI23" s="260"/>
      <c r="BK23" s="265"/>
    </row>
    <row r="24" spans="1:63" x14ac:dyDescent="0.2">
      <c r="A24" s="2"/>
      <c r="B24" s="6" t="s">
        <v>578</v>
      </c>
      <c r="C24" s="178"/>
      <c r="D24" s="126"/>
      <c r="E24" s="126"/>
      <c r="F24" s="126"/>
      <c r="G24" s="126"/>
      <c r="H24" s="126"/>
      <c r="I24" s="126"/>
      <c r="J24" s="126"/>
      <c r="K24" s="123">
        <f>C24-SUM(D24:G24,H24:I24,J24)</f>
        <v>0</v>
      </c>
      <c r="M24" s="2"/>
      <c r="N24" s="6" t="s">
        <v>578</v>
      </c>
      <c r="O24" s="173"/>
      <c r="P24" s="126"/>
      <c r="Q24" s="126"/>
      <c r="R24" s="126"/>
      <c r="S24" s="126"/>
      <c r="T24" s="126"/>
      <c r="U24" s="126"/>
      <c r="V24" s="126"/>
      <c r="W24" s="123">
        <f t="shared" ref="W24:W27" si="20">O24-SUM(P24:S24,T24:U24,V24)</f>
        <v>0</v>
      </c>
      <c r="Y24" s="2"/>
      <c r="Z24" s="6" t="s">
        <v>578</v>
      </c>
      <c r="AA24" s="173"/>
      <c r="AB24" s="126"/>
      <c r="AC24" s="126"/>
      <c r="AD24" s="126"/>
      <c r="AE24" s="126"/>
      <c r="AF24" s="126"/>
      <c r="AG24" s="126"/>
      <c r="AH24" s="126"/>
      <c r="AI24" s="123">
        <f t="shared" ref="AI24:AI27" si="21">AA24-SUM(AB24:AE24,AF24:AG24,AH24)</f>
        <v>0</v>
      </c>
      <c r="AK24" s="2"/>
      <c r="AL24" s="6" t="s">
        <v>578</v>
      </c>
      <c r="AM24" s="173"/>
      <c r="AN24" s="126"/>
      <c r="AO24" s="126"/>
      <c r="AP24" s="126"/>
      <c r="AQ24" s="126"/>
      <c r="AR24" s="126"/>
      <c r="AS24" s="126"/>
      <c r="AT24" s="126"/>
      <c r="AU24" s="123">
        <f t="shared" ref="AU24:AU27" si="22">AM24-SUM(AN24:AQ24,AR24:AS24,AT24)</f>
        <v>0</v>
      </c>
      <c r="AW24" s="2"/>
      <c r="AX24" s="6" t="s">
        <v>578</v>
      </c>
      <c r="AY24" s="173"/>
      <c r="AZ24" s="126"/>
      <c r="BA24" s="126"/>
      <c r="BB24" s="126"/>
      <c r="BC24" s="126"/>
      <c r="BD24" s="126"/>
      <c r="BE24" s="126"/>
      <c r="BF24" s="126"/>
      <c r="BG24" s="123">
        <f t="shared" ref="BG24:BG27" si="23">AY24-SUM(AZ24:BC24,BD24:BE24,BF24)</f>
        <v>0</v>
      </c>
      <c r="BI24" s="260" t="str">
        <f>IF(OR(K24&lt;0,W24&lt;0,AI24&lt;0,AU24&lt;0,BG24&lt;0),"!! Total must be &gt;= sum by situation",IF(OR(C24&lt;SUM(O24,AA24,AM24,AY24),D24&lt;SUM(P24,AB24,AN24,AZ24),E24&lt;SUM(Q24,AC24,AO24,BA24),F24&lt;SUM(R24,AD24,AP24,BB24),G24&lt;SUM(S24,AE24,AQ24,BC24),H24&lt;SUM(T24,AF24,AR24,BD24),I24&lt;SUM(U24,AG24,AS24,BE24),J24&lt;SUM(V24,AH24,AT24,BF24)),"!! Values in FU1 must be &gt;= sum of values in FU2 - FU5",""))</f>
        <v/>
      </c>
      <c r="BK24" s="265"/>
    </row>
    <row r="25" spans="1:63" x14ac:dyDescent="0.2">
      <c r="A25" s="2"/>
      <c r="B25" s="6" t="s">
        <v>6</v>
      </c>
      <c r="C25" s="178"/>
      <c r="D25" s="126"/>
      <c r="E25" s="126"/>
      <c r="F25" s="126"/>
      <c r="G25" s="126"/>
      <c r="H25" s="126"/>
      <c r="I25" s="126"/>
      <c r="J25" s="126"/>
      <c r="K25" s="123">
        <f>C25-SUM(D25:G25,H25:I25,J25)</f>
        <v>0</v>
      </c>
      <c r="M25" s="2"/>
      <c r="N25" s="6" t="s">
        <v>6</v>
      </c>
      <c r="O25" s="173"/>
      <c r="P25" s="126"/>
      <c r="Q25" s="127"/>
      <c r="R25" s="127"/>
      <c r="S25" s="127"/>
      <c r="T25" s="127"/>
      <c r="U25" s="127"/>
      <c r="V25" s="126"/>
      <c r="W25" s="123">
        <f t="shared" si="20"/>
        <v>0</v>
      </c>
      <c r="Y25" s="2"/>
      <c r="Z25" s="6" t="s">
        <v>6</v>
      </c>
      <c r="AA25" s="173"/>
      <c r="AB25" s="127"/>
      <c r="AC25" s="127"/>
      <c r="AD25" s="127"/>
      <c r="AE25" s="127"/>
      <c r="AF25" s="127"/>
      <c r="AG25" s="127"/>
      <c r="AH25" s="127"/>
      <c r="AI25" s="123">
        <f t="shared" si="21"/>
        <v>0</v>
      </c>
      <c r="AK25" s="2"/>
      <c r="AL25" s="6" t="s">
        <v>6</v>
      </c>
      <c r="AM25" s="173"/>
      <c r="AN25" s="126"/>
      <c r="AO25" s="127"/>
      <c r="AP25" s="127"/>
      <c r="AQ25" s="127"/>
      <c r="AR25" s="127"/>
      <c r="AS25" s="127"/>
      <c r="AT25" s="127"/>
      <c r="AU25" s="123">
        <f t="shared" si="22"/>
        <v>0</v>
      </c>
      <c r="AW25" s="2"/>
      <c r="AX25" s="6" t="s">
        <v>6</v>
      </c>
      <c r="AY25" s="173"/>
      <c r="AZ25" s="126"/>
      <c r="BA25" s="127"/>
      <c r="BB25" s="127"/>
      <c r="BC25" s="127"/>
      <c r="BD25" s="127"/>
      <c r="BE25" s="127"/>
      <c r="BF25" s="127"/>
      <c r="BG25" s="123">
        <f t="shared" si="23"/>
        <v>0</v>
      </c>
      <c r="BI25" s="260" t="str">
        <f>IF(OR(K25&lt;0,W25&lt;0,AI25&lt;0,AU25&lt;0,BG25&lt;0),"!! Total must be &gt;= sum by situation",IF(OR(C25&lt;SUM(O25,AA25,AM25,AY25),D25&lt;SUM(P25,AB25,AN25,AZ25),E25&lt;SUM(Q25,AC25,AO25,BA25),F25&lt;SUM(R25,AD25,AP25,BB25),G25&lt;SUM(S25,AE25,AQ25,BC25),H25&lt;SUM(T25,AF25,AR25,BD25),I25&lt;SUM(U25,AG25,AS25,BE25),J25&lt;SUM(V25,AH25,AT25,BF25)),"!! Values in FU1 must be &gt;= sum of values in FU2 - FU5",""))</f>
        <v/>
      </c>
      <c r="BK25" s="265"/>
    </row>
    <row r="26" spans="1:63" x14ac:dyDescent="0.2">
      <c r="A26" s="2"/>
      <c r="B26" s="6" t="s">
        <v>7</v>
      </c>
      <c r="C26" s="178"/>
      <c r="D26" s="126"/>
      <c r="E26" s="126"/>
      <c r="F26" s="126"/>
      <c r="G26" s="126"/>
      <c r="H26" s="126"/>
      <c r="I26" s="126"/>
      <c r="J26" s="126"/>
      <c r="K26" s="123">
        <f>C26-SUM(D26:G26,H26:I26,J26)</f>
        <v>0</v>
      </c>
      <c r="M26" s="2"/>
      <c r="N26" s="6" t="s">
        <v>7</v>
      </c>
      <c r="O26" s="173"/>
      <c r="P26" s="126"/>
      <c r="Q26" s="126"/>
      <c r="R26" s="126"/>
      <c r="S26" s="126"/>
      <c r="T26" s="126"/>
      <c r="U26" s="126"/>
      <c r="V26" s="126"/>
      <c r="W26" s="123">
        <f t="shared" si="20"/>
        <v>0</v>
      </c>
      <c r="Y26" s="2"/>
      <c r="Z26" s="6" t="s">
        <v>7</v>
      </c>
      <c r="AA26" s="173"/>
      <c r="AB26" s="126"/>
      <c r="AC26" s="126"/>
      <c r="AD26" s="126"/>
      <c r="AE26" s="126"/>
      <c r="AF26" s="126"/>
      <c r="AG26" s="126"/>
      <c r="AH26" s="127"/>
      <c r="AI26" s="123">
        <f t="shared" si="21"/>
        <v>0</v>
      </c>
      <c r="AK26" s="2"/>
      <c r="AL26" s="6" t="s">
        <v>7</v>
      </c>
      <c r="AM26" s="173"/>
      <c r="AN26" s="126"/>
      <c r="AO26" s="126"/>
      <c r="AP26" s="126"/>
      <c r="AQ26" s="126"/>
      <c r="AR26" s="126"/>
      <c r="AS26" s="126"/>
      <c r="AT26" s="127"/>
      <c r="AU26" s="123">
        <f t="shared" si="22"/>
        <v>0</v>
      </c>
      <c r="AW26" s="2"/>
      <c r="AX26" s="6" t="s">
        <v>7</v>
      </c>
      <c r="AY26" s="173"/>
      <c r="AZ26" s="126"/>
      <c r="BA26" s="126"/>
      <c r="BB26" s="126"/>
      <c r="BC26" s="126"/>
      <c r="BD26" s="126"/>
      <c r="BE26" s="126"/>
      <c r="BF26" s="127"/>
      <c r="BG26" s="123">
        <f t="shared" si="23"/>
        <v>0</v>
      </c>
      <c r="BI26" s="260" t="str">
        <f t="shared" ref="BI26:BI27" si="24">IF(OR(K26&lt;0,W26&lt;0,AI26&lt;0,AU26&lt;0,BG26&lt;0),"!! Total must be &gt;= sum by situation",IF(OR(C26&lt;SUM(O26,AA26,AM26,AY26),D26&lt;SUM(P26,AB26,AN26,AZ26),E26&lt;SUM(Q26,AC26,AO26,BA26),F26&lt;SUM(R26,AD26,AP26,BB26),G26&lt;SUM(S26,AE26,AQ26,BC26),H26&lt;SUM(T26,AF26,AR26,BD26),I26&lt;SUM(U26,AG26,AS26,BE26),J26&lt;SUM(V26,AH26,AT26,BF26)),"!! Values in FU1 must be &gt;= sum of values in FU2 - FU5",""))</f>
        <v/>
      </c>
      <c r="BK26" s="265"/>
    </row>
    <row r="27" spans="1:63" x14ac:dyDescent="0.2">
      <c r="A27" s="2"/>
      <c r="B27" s="6" t="s">
        <v>577</v>
      </c>
      <c r="C27" s="178"/>
      <c r="D27" s="126"/>
      <c r="E27" s="126"/>
      <c r="F27" s="126"/>
      <c r="G27" s="126"/>
      <c r="H27" s="126"/>
      <c r="I27" s="126"/>
      <c r="J27" s="126"/>
      <c r="K27" s="123">
        <f>C27-SUM(D27:G27,H27:I27,J27)</f>
        <v>0</v>
      </c>
      <c r="M27" s="2"/>
      <c r="N27" s="6" t="s">
        <v>577</v>
      </c>
      <c r="O27" s="173"/>
      <c r="P27" s="126"/>
      <c r="Q27" s="127"/>
      <c r="R27" s="127"/>
      <c r="S27" s="127"/>
      <c r="T27" s="127"/>
      <c r="U27" s="127"/>
      <c r="V27" s="126"/>
      <c r="W27" s="123">
        <f t="shared" si="20"/>
        <v>0</v>
      </c>
      <c r="Y27" s="2"/>
      <c r="Z27" s="6" t="s">
        <v>577</v>
      </c>
      <c r="AA27" s="173"/>
      <c r="AB27" s="127"/>
      <c r="AC27" s="127"/>
      <c r="AD27" s="127"/>
      <c r="AE27" s="127"/>
      <c r="AF27" s="127"/>
      <c r="AG27" s="127"/>
      <c r="AH27" s="127"/>
      <c r="AI27" s="123">
        <f t="shared" si="21"/>
        <v>0</v>
      </c>
      <c r="AK27" s="2"/>
      <c r="AL27" s="6" t="s">
        <v>577</v>
      </c>
      <c r="AM27" s="173"/>
      <c r="AN27" s="126"/>
      <c r="AO27" s="127"/>
      <c r="AP27" s="127"/>
      <c r="AQ27" s="127"/>
      <c r="AR27" s="127"/>
      <c r="AS27" s="127"/>
      <c r="AT27" s="127"/>
      <c r="AU27" s="123">
        <f t="shared" si="22"/>
        <v>0</v>
      </c>
      <c r="AW27" s="2"/>
      <c r="AX27" s="6" t="s">
        <v>577</v>
      </c>
      <c r="AY27" s="173"/>
      <c r="AZ27" s="126"/>
      <c r="BA27" s="127"/>
      <c r="BB27" s="127"/>
      <c r="BC27" s="127"/>
      <c r="BD27" s="127"/>
      <c r="BE27" s="127"/>
      <c r="BF27" s="127"/>
      <c r="BG27" s="123">
        <f t="shared" si="23"/>
        <v>0</v>
      </c>
      <c r="BI27" s="260" t="str">
        <f t="shared" si="24"/>
        <v/>
      </c>
      <c r="BK27" s="265"/>
    </row>
    <row r="28" spans="1:63" x14ac:dyDescent="0.2">
      <c r="A28" s="4" t="s">
        <v>5</v>
      </c>
      <c r="B28" s="179"/>
      <c r="C28" s="172" t="str">
        <f t="shared" ref="C28:K28" si="25">C$18</f>
        <v>Total</v>
      </c>
      <c r="D28" s="180" t="str">
        <f>D$18</f>
        <v>Employment</v>
      </c>
      <c r="E28" s="180" t="str">
        <f t="shared" ref="E28:J28" si="26">E$18</f>
        <v>Education</v>
      </c>
      <c r="F28" s="180" t="str">
        <f t="shared" si="26"/>
        <v>Apprenticeship</v>
      </c>
      <c r="G28" s="180" t="str">
        <f t="shared" si="26"/>
        <v>Traineeship</v>
      </c>
      <c r="H28" s="180" t="str">
        <f t="shared" si="26"/>
        <v>Unemployment</v>
      </c>
      <c r="I28" s="180" t="str">
        <f t="shared" si="26"/>
        <v>Inactivity</v>
      </c>
      <c r="J28" s="180" t="str">
        <f t="shared" si="26"/>
        <v>Not applicable</v>
      </c>
      <c r="K28" s="182" t="str">
        <f t="shared" si="25"/>
        <v>Unknown</v>
      </c>
      <c r="M28" s="183" t="s">
        <v>5</v>
      </c>
      <c r="N28" s="179"/>
      <c r="O28" s="172" t="str">
        <f t="shared" ref="O28:W28" si="27">O$18</f>
        <v>Total</v>
      </c>
      <c r="P28" s="180" t="str">
        <f>P$18</f>
        <v>Employment</v>
      </c>
      <c r="Q28" s="180" t="str">
        <f t="shared" si="27"/>
        <v>Education</v>
      </c>
      <c r="R28" s="180" t="str">
        <f t="shared" si="27"/>
        <v>Apprenticeship</v>
      </c>
      <c r="S28" s="180" t="str">
        <f t="shared" si="27"/>
        <v>Traineeship</v>
      </c>
      <c r="T28" s="180" t="str">
        <f t="shared" si="27"/>
        <v>Unemployment</v>
      </c>
      <c r="U28" s="181" t="str">
        <f t="shared" si="27"/>
        <v>Inactivity</v>
      </c>
      <c r="V28" s="180" t="str">
        <f t="shared" si="27"/>
        <v>Not applicable</v>
      </c>
      <c r="W28" s="182" t="str">
        <f t="shared" si="27"/>
        <v>Unknown</v>
      </c>
      <c r="Y28" s="183" t="s">
        <v>5</v>
      </c>
      <c r="Z28" s="179"/>
      <c r="AA28" s="172" t="str">
        <f t="shared" ref="AA28:AI28" si="28">AA$18</f>
        <v>Total</v>
      </c>
      <c r="AB28" s="180" t="str">
        <f t="shared" si="28"/>
        <v>Apprenticeship</v>
      </c>
      <c r="AC28" s="180" t="str">
        <f t="shared" si="28"/>
        <v>Education</v>
      </c>
      <c r="AD28" s="180" t="str">
        <f t="shared" si="28"/>
        <v>Apprenticeship</v>
      </c>
      <c r="AE28" s="180" t="str">
        <f t="shared" si="28"/>
        <v>Traineeship</v>
      </c>
      <c r="AF28" s="180" t="str">
        <f t="shared" si="28"/>
        <v>Unemployment</v>
      </c>
      <c r="AG28" s="181" t="str">
        <f t="shared" si="28"/>
        <v>Inactivity</v>
      </c>
      <c r="AH28" s="181" t="str">
        <f t="shared" si="28"/>
        <v>Not applicable</v>
      </c>
      <c r="AI28" s="182" t="str">
        <f t="shared" si="28"/>
        <v>Unknown</v>
      </c>
      <c r="AK28" s="183" t="s">
        <v>5</v>
      </c>
      <c r="AL28" s="179"/>
      <c r="AM28" s="172" t="str">
        <f t="shared" ref="AM28" si="29">AM$18</f>
        <v>Total</v>
      </c>
      <c r="AN28" s="180" t="str">
        <f t="shared" ref="AN28:AT28" si="30">AN$18</f>
        <v>Education</v>
      </c>
      <c r="AO28" s="180" t="str">
        <f t="shared" si="30"/>
        <v>Apprenticeship</v>
      </c>
      <c r="AP28" s="180" t="str">
        <f t="shared" si="30"/>
        <v>Education</v>
      </c>
      <c r="AQ28" s="180" t="str">
        <f t="shared" si="30"/>
        <v>Apprenticeship</v>
      </c>
      <c r="AR28" s="180" t="str">
        <f t="shared" si="30"/>
        <v>Traineeship</v>
      </c>
      <c r="AS28" s="181" t="str">
        <f t="shared" si="30"/>
        <v>Unemployment</v>
      </c>
      <c r="AT28" s="181" t="str">
        <f t="shared" si="30"/>
        <v>Inactivity</v>
      </c>
      <c r="AU28" s="182" t="str">
        <f t="shared" ref="AU28" si="31">AU$18</f>
        <v>Unknown</v>
      </c>
      <c r="AW28" s="183" t="s">
        <v>5</v>
      </c>
      <c r="AX28" s="179"/>
      <c r="AY28" s="172" t="str">
        <f t="shared" ref="AY28" si="32">AY$18</f>
        <v>Total</v>
      </c>
      <c r="AZ28" s="180"/>
      <c r="BA28" s="180" t="str">
        <f t="shared" ref="BA28" si="33">BA$18</f>
        <v>Apprenticeship</v>
      </c>
      <c r="BB28" s="180"/>
      <c r="BC28" s="180" t="str">
        <f t="shared" ref="BC28:BD28" si="34">BC$18</f>
        <v>Apprenticeship</v>
      </c>
      <c r="BD28" s="180" t="str">
        <f t="shared" si="34"/>
        <v>Traineeship</v>
      </c>
      <c r="BE28" s="181"/>
      <c r="BF28" s="181"/>
      <c r="BG28" s="182" t="str">
        <f t="shared" ref="BG28" si="35">BG$18</f>
        <v>Unknown</v>
      </c>
      <c r="BI28" s="260"/>
      <c r="BK28" s="265"/>
    </row>
    <row r="29" spans="1:63" x14ac:dyDescent="0.2">
      <c r="A29" s="2"/>
      <c r="B29" s="6" t="s">
        <v>578</v>
      </c>
      <c r="C29" s="178"/>
      <c r="D29" s="126"/>
      <c r="E29" s="126"/>
      <c r="F29" s="126"/>
      <c r="G29" s="126"/>
      <c r="H29" s="126"/>
      <c r="I29" s="126"/>
      <c r="J29" s="126"/>
      <c r="K29" s="123">
        <f>C29-SUM(D29:G29,H29:I29,J29)</f>
        <v>0</v>
      </c>
      <c r="M29" s="2"/>
      <c r="N29" s="6" t="s">
        <v>578</v>
      </c>
      <c r="O29" s="173"/>
      <c r="P29" s="126"/>
      <c r="Q29" s="126"/>
      <c r="R29" s="126"/>
      <c r="S29" s="126"/>
      <c r="T29" s="126"/>
      <c r="U29" s="126"/>
      <c r="V29" s="126"/>
      <c r="W29" s="123">
        <f t="shared" ref="W29:W31" si="36">O29-SUM(P29:S29,T29:U29,V29)</f>
        <v>0</v>
      </c>
      <c r="Y29" s="2"/>
      <c r="Z29" s="6" t="s">
        <v>578</v>
      </c>
      <c r="AA29" s="173"/>
      <c r="AB29" s="126"/>
      <c r="AC29" s="126"/>
      <c r="AD29" s="126"/>
      <c r="AE29" s="126"/>
      <c r="AF29" s="126"/>
      <c r="AG29" s="126"/>
      <c r="AH29" s="126"/>
      <c r="AI29" s="123">
        <f t="shared" ref="AI29:AI31" si="37">AA29-SUM(AB29:AE29,AF29:AG29,AH29)</f>
        <v>0</v>
      </c>
      <c r="AK29" s="2"/>
      <c r="AL29" s="6" t="s">
        <v>578</v>
      </c>
      <c r="AM29" s="173"/>
      <c r="AN29" s="126"/>
      <c r="AO29" s="126"/>
      <c r="AP29" s="126"/>
      <c r="AQ29" s="126"/>
      <c r="AR29" s="126"/>
      <c r="AS29" s="126"/>
      <c r="AT29" s="126"/>
      <c r="AU29" s="123">
        <f t="shared" ref="AU29:AU31" si="38">AM29-SUM(AN29:AQ29,AR29:AS29,AT29)</f>
        <v>0</v>
      </c>
      <c r="AW29" s="2"/>
      <c r="AX29" s="6" t="s">
        <v>578</v>
      </c>
      <c r="AY29" s="173"/>
      <c r="AZ29" s="126"/>
      <c r="BA29" s="126"/>
      <c r="BB29" s="126"/>
      <c r="BC29" s="126"/>
      <c r="BD29" s="126"/>
      <c r="BE29" s="126"/>
      <c r="BF29" s="126"/>
      <c r="BG29" s="123">
        <f t="shared" ref="BG29:BG31" si="39">AY29-SUM(AZ29:BC29,BD29:BE29,BF29)</f>
        <v>0</v>
      </c>
      <c r="BI29" s="260" t="str">
        <f>IF(OR(K29&lt;0,W29&lt;0,AI29&lt;0,AU29&lt;0,BG29&lt;0),"!! Total must be &gt;= sum by situation",IF(OR(C29&lt;SUM(O29,AA29,AM29,AY29),D29&lt;SUM(P29,AB29,AN29,AZ29),E29&lt;SUM(Q29,AC29,AO29,BA29),F29&lt;SUM(R29,AD29,AP29,BB29),G29&lt;SUM(S29,AE29,AQ29,BC29),H29&lt;SUM(T29,AF29,AR29,BD29),I29&lt;SUM(U29,AG29,AS29,BE29),J29&lt;SUM(V29,AH29,AT29,BF29)),"!! Values in FU1 must be &gt;= sum of values in FU2 - FU5",""))</f>
        <v/>
      </c>
      <c r="BK29" s="265"/>
    </row>
    <row r="30" spans="1:63" x14ac:dyDescent="0.2">
      <c r="A30" s="2"/>
      <c r="B30" s="6" t="s">
        <v>6</v>
      </c>
      <c r="C30" s="178"/>
      <c r="D30" s="126"/>
      <c r="E30" s="126"/>
      <c r="F30" s="126"/>
      <c r="G30" s="126"/>
      <c r="H30" s="126"/>
      <c r="I30" s="126"/>
      <c r="J30" s="126"/>
      <c r="K30" s="123">
        <f>C30-SUM(D30:G30,H30:I30,J30)</f>
        <v>0</v>
      </c>
      <c r="M30" s="2"/>
      <c r="N30" s="6" t="s">
        <v>6</v>
      </c>
      <c r="O30" s="173"/>
      <c r="P30" s="126"/>
      <c r="Q30" s="127"/>
      <c r="R30" s="127"/>
      <c r="S30" s="127"/>
      <c r="T30" s="127"/>
      <c r="U30" s="127"/>
      <c r="V30" s="126"/>
      <c r="W30" s="123">
        <f t="shared" si="36"/>
        <v>0</v>
      </c>
      <c r="Y30" s="2"/>
      <c r="Z30" s="6" t="s">
        <v>6</v>
      </c>
      <c r="AA30" s="173"/>
      <c r="AB30" s="127"/>
      <c r="AC30" s="127"/>
      <c r="AD30" s="127"/>
      <c r="AE30" s="127"/>
      <c r="AF30" s="127"/>
      <c r="AG30" s="127"/>
      <c r="AH30" s="127"/>
      <c r="AI30" s="123">
        <f t="shared" si="37"/>
        <v>0</v>
      </c>
      <c r="AK30" s="2"/>
      <c r="AL30" s="6" t="s">
        <v>6</v>
      </c>
      <c r="AM30" s="173"/>
      <c r="AN30" s="126"/>
      <c r="AO30" s="127"/>
      <c r="AP30" s="127"/>
      <c r="AQ30" s="127"/>
      <c r="AR30" s="127"/>
      <c r="AS30" s="127"/>
      <c r="AT30" s="127"/>
      <c r="AU30" s="123">
        <f t="shared" si="38"/>
        <v>0</v>
      </c>
      <c r="AW30" s="2"/>
      <c r="AX30" s="6" t="s">
        <v>6</v>
      </c>
      <c r="AY30" s="173"/>
      <c r="AZ30" s="126"/>
      <c r="BA30" s="127"/>
      <c r="BB30" s="127"/>
      <c r="BC30" s="127"/>
      <c r="BD30" s="127"/>
      <c r="BE30" s="127"/>
      <c r="BF30" s="127"/>
      <c r="BG30" s="123">
        <f t="shared" si="39"/>
        <v>0</v>
      </c>
      <c r="BI30" s="260" t="str">
        <f>IF(OR(K30&lt;0,W30&lt;0,AI30&lt;0,AU30&lt;0,BG30&lt;0),"!! Total must be &gt;= sum by situation",IF(OR(C30&lt;SUM(O30,AA30,AM30,AY30),D30&lt;SUM(P30,AB30,AN30,AZ30),E30&lt;SUM(Q30,AC30,AO30,BA30),F30&lt;SUM(R30,AD30,AP30,BB30),G30&lt;SUM(S30,AE30,AQ30,BC30),H30&lt;SUM(T30,AF30,AR30,BD30),I30&lt;SUM(U30,AG30,AS30,BE30),J30&lt;SUM(V30,AH30,AT30,BF30)),"!! Values in FU1 must be &gt;= sum of values in FU2 - FU5",""))</f>
        <v/>
      </c>
      <c r="BK30" s="265"/>
    </row>
    <row r="31" spans="1:63" x14ac:dyDescent="0.2">
      <c r="A31" s="2"/>
      <c r="B31" s="6" t="s">
        <v>7</v>
      </c>
      <c r="C31" s="178"/>
      <c r="D31" s="126"/>
      <c r="E31" s="126"/>
      <c r="F31" s="126"/>
      <c r="G31" s="126"/>
      <c r="H31" s="126"/>
      <c r="I31" s="126"/>
      <c r="J31" s="126"/>
      <c r="K31" s="123">
        <f>C31-SUM(D31:G31,H31:I31,J31)</f>
        <v>0</v>
      </c>
      <c r="M31" s="2"/>
      <c r="N31" s="6" t="s">
        <v>7</v>
      </c>
      <c r="O31" s="173"/>
      <c r="P31" s="126"/>
      <c r="Q31" s="126"/>
      <c r="R31" s="126"/>
      <c r="S31" s="126"/>
      <c r="T31" s="126"/>
      <c r="U31" s="126"/>
      <c r="V31" s="126"/>
      <c r="W31" s="123">
        <f t="shared" si="36"/>
        <v>0</v>
      </c>
      <c r="Y31" s="2"/>
      <c r="Z31" s="6" t="s">
        <v>7</v>
      </c>
      <c r="AA31" s="173"/>
      <c r="AB31" s="126"/>
      <c r="AC31" s="126"/>
      <c r="AD31" s="126"/>
      <c r="AE31" s="126"/>
      <c r="AF31" s="126"/>
      <c r="AG31" s="126"/>
      <c r="AH31" s="127"/>
      <c r="AI31" s="123">
        <f t="shared" si="37"/>
        <v>0</v>
      </c>
      <c r="AK31" s="2"/>
      <c r="AL31" s="6" t="s">
        <v>7</v>
      </c>
      <c r="AM31" s="173"/>
      <c r="AN31" s="126"/>
      <c r="AO31" s="126"/>
      <c r="AP31" s="126"/>
      <c r="AQ31" s="126"/>
      <c r="AR31" s="126"/>
      <c r="AS31" s="126"/>
      <c r="AT31" s="127"/>
      <c r="AU31" s="123">
        <f t="shared" si="38"/>
        <v>0</v>
      </c>
      <c r="AW31" s="2"/>
      <c r="AX31" s="6" t="s">
        <v>7</v>
      </c>
      <c r="AY31" s="173"/>
      <c r="AZ31" s="126"/>
      <c r="BA31" s="126"/>
      <c r="BB31" s="126"/>
      <c r="BC31" s="126"/>
      <c r="BD31" s="126"/>
      <c r="BE31" s="126"/>
      <c r="BF31" s="127"/>
      <c r="BG31" s="123">
        <f t="shared" si="39"/>
        <v>0</v>
      </c>
      <c r="BI31" s="260" t="str">
        <f t="shared" ref="BI31:BI32" si="40">IF(OR(K31&lt;0,W31&lt;0,AI31&lt;0,AU31&lt;0,BG31&lt;0),"!! Total must be &gt;= sum by situation",IF(OR(C31&lt;SUM(O31,AA31,AM31,AY31),D31&lt;SUM(P31,AB31,AN31,AZ31),E31&lt;SUM(Q31,AC31,AO31,BA31),F31&lt;SUM(R31,AD31,AP31,BB31),G31&lt;SUM(S31,AE31,AQ31,BC31),H31&lt;SUM(T31,AF31,AR31,BD31),I31&lt;SUM(U31,AG31,AS31,BE31),J31&lt;SUM(V31,AH31,AT31,BF31)),"!! Values in FU1 must be &gt;= sum of values in FU2 - FU5",""))</f>
        <v/>
      </c>
      <c r="BK31" s="265"/>
    </row>
    <row r="32" spans="1:63" ht="16" thickBot="1" x14ac:dyDescent="0.25">
      <c r="A32" s="2"/>
      <c r="B32" s="6" t="s">
        <v>577</v>
      </c>
      <c r="C32" s="178"/>
      <c r="D32" s="126"/>
      <c r="E32" s="126"/>
      <c r="F32" s="126"/>
      <c r="G32" s="126"/>
      <c r="H32" s="126"/>
      <c r="I32" s="126"/>
      <c r="J32" s="126"/>
      <c r="K32" s="123">
        <f>C32-SUM(D32:G32,H32:I32,J32)</f>
        <v>0</v>
      </c>
      <c r="M32" s="2"/>
      <c r="N32" s="6" t="s">
        <v>577</v>
      </c>
      <c r="O32" s="173"/>
      <c r="P32" s="126"/>
      <c r="Q32" s="127"/>
      <c r="R32" s="127"/>
      <c r="S32" s="127"/>
      <c r="T32" s="127"/>
      <c r="U32" s="127"/>
      <c r="V32" s="126"/>
      <c r="W32" s="123">
        <f>O32-SUM(P32:S32,T32:U32,V32)</f>
        <v>0</v>
      </c>
      <c r="Y32" s="2"/>
      <c r="Z32" s="6" t="s">
        <v>577</v>
      </c>
      <c r="AA32" s="173"/>
      <c r="AB32" s="127"/>
      <c r="AC32" s="127"/>
      <c r="AD32" s="127"/>
      <c r="AE32" s="127"/>
      <c r="AF32" s="127"/>
      <c r="AG32" s="127"/>
      <c r="AH32" s="127"/>
      <c r="AI32" s="123">
        <f>AA32-SUM(AB32:AE32,AF32:AG32,AH32)</f>
        <v>0</v>
      </c>
      <c r="AK32" s="2"/>
      <c r="AL32" s="6" t="s">
        <v>577</v>
      </c>
      <c r="AM32" s="173"/>
      <c r="AN32" s="126"/>
      <c r="AO32" s="127"/>
      <c r="AP32" s="127"/>
      <c r="AQ32" s="127"/>
      <c r="AR32" s="127"/>
      <c r="AS32" s="127"/>
      <c r="AT32" s="127"/>
      <c r="AU32" s="123">
        <f>AM32-SUM(AN32:AQ32,AR32:AS32,AT32)</f>
        <v>0</v>
      </c>
      <c r="AW32" s="2"/>
      <c r="AX32" s="6" t="s">
        <v>577</v>
      </c>
      <c r="AY32" s="173"/>
      <c r="AZ32" s="126"/>
      <c r="BA32" s="127"/>
      <c r="BB32" s="127"/>
      <c r="BC32" s="127"/>
      <c r="BD32" s="127"/>
      <c r="BE32" s="127"/>
      <c r="BF32" s="127"/>
      <c r="BG32" s="123">
        <f>AY32-SUM(AZ32:BC32,BD32:BE32,BF32)</f>
        <v>0</v>
      </c>
      <c r="BI32" s="69" t="str">
        <f t="shared" si="40"/>
        <v/>
      </c>
      <c r="BK32" s="265"/>
    </row>
    <row r="33" spans="1:63" ht="16" thickTop="1" x14ac:dyDescent="0.2">
      <c r="A33" s="116" t="s">
        <v>158</v>
      </c>
      <c r="B33" s="117"/>
      <c r="C33" s="174"/>
      <c r="D33" s="156"/>
      <c r="E33" s="157"/>
      <c r="F33" s="157"/>
      <c r="G33" s="157"/>
      <c r="H33" s="157"/>
      <c r="I33" s="157"/>
      <c r="J33" s="157"/>
      <c r="K33" s="118"/>
      <c r="M33" s="116" t="s">
        <v>158</v>
      </c>
      <c r="N33" s="117"/>
      <c r="O33" s="174"/>
      <c r="P33" s="156"/>
      <c r="Q33" s="157"/>
      <c r="R33" s="157"/>
      <c r="S33" s="157"/>
      <c r="T33" s="157"/>
      <c r="U33" s="157"/>
      <c r="V33" s="157"/>
      <c r="W33" s="118"/>
      <c r="Y33" s="116" t="s">
        <v>158</v>
      </c>
      <c r="Z33" s="117"/>
      <c r="AA33" s="174"/>
      <c r="AB33" s="157"/>
      <c r="AC33" s="157"/>
      <c r="AD33" s="157"/>
      <c r="AE33" s="157"/>
      <c r="AF33" s="157"/>
      <c r="AG33" s="157"/>
      <c r="AH33" s="157"/>
      <c r="AI33" s="118"/>
      <c r="AK33" s="116" t="s">
        <v>158</v>
      </c>
      <c r="AL33" s="117"/>
      <c r="AM33" s="174"/>
      <c r="AN33" s="156"/>
      <c r="AO33" s="157"/>
      <c r="AP33" s="157"/>
      <c r="AQ33" s="157"/>
      <c r="AR33" s="157"/>
      <c r="AS33" s="157"/>
      <c r="AT33" s="157"/>
      <c r="AU33" s="118"/>
      <c r="AW33" s="116" t="s">
        <v>158</v>
      </c>
      <c r="AX33" s="117"/>
      <c r="AY33" s="174"/>
      <c r="AZ33" s="156"/>
      <c r="BA33" s="157"/>
      <c r="BB33" s="157"/>
      <c r="BC33" s="157"/>
      <c r="BD33" s="157"/>
      <c r="BE33" s="157"/>
      <c r="BF33" s="157"/>
      <c r="BG33" s="118"/>
      <c r="BI33" s="69"/>
      <c r="BK33" s="265"/>
    </row>
    <row r="34" spans="1:63" ht="15" hidden="1" customHeight="1" x14ac:dyDescent="0.2">
      <c r="A34" s="14" t="str">
        <f>A33</f>
        <v>12 months after exit</v>
      </c>
      <c r="B34" s="15"/>
      <c r="C34" s="175"/>
      <c r="D34" s="158"/>
      <c r="E34" s="158"/>
      <c r="F34" s="158"/>
      <c r="G34" s="158"/>
      <c r="H34" s="158"/>
      <c r="I34" s="158"/>
      <c r="J34" s="159"/>
      <c r="K34" s="34" t="e">
        <f>#REF!</f>
        <v>#REF!</v>
      </c>
      <c r="M34" s="14" t="str">
        <f>M33</f>
        <v>12 months after exit</v>
      </c>
      <c r="N34" s="15"/>
      <c r="O34" s="175" t="e">
        <f>#REF!</f>
        <v>#REF!</v>
      </c>
      <c r="P34" s="158"/>
      <c r="Q34" s="158" t="e">
        <f>#REF!</f>
        <v>#REF!</v>
      </c>
      <c r="R34" s="158" t="e">
        <f>#REF!</f>
        <v>#REF!</v>
      </c>
      <c r="S34" s="158" t="e">
        <f>#REF!</f>
        <v>#REF!</v>
      </c>
      <c r="T34" s="158" t="e">
        <f>#REF!</f>
        <v>#REF!</v>
      </c>
      <c r="U34" s="158" t="e">
        <f>#REF!</f>
        <v>#REF!</v>
      </c>
      <c r="V34" s="159"/>
      <c r="W34" s="34" t="e">
        <f>#REF!</f>
        <v>#REF!</v>
      </c>
      <c r="Y34" s="14" t="str">
        <f>Y33</f>
        <v>12 months after exit</v>
      </c>
      <c r="Z34" s="15"/>
      <c r="AA34" s="175" t="e">
        <f>#REF!</f>
        <v>#REF!</v>
      </c>
      <c r="AB34" s="158" t="e">
        <f>#REF!</f>
        <v>#REF!</v>
      </c>
      <c r="AC34" s="158" t="e">
        <f>#REF!</f>
        <v>#REF!</v>
      </c>
      <c r="AD34" s="158" t="e">
        <f>#REF!</f>
        <v>#REF!</v>
      </c>
      <c r="AE34" s="158" t="e">
        <f>#REF!</f>
        <v>#REF!</v>
      </c>
      <c r="AF34" s="158" t="e">
        <f>#REF!</f>
        <v>#REF!</v>
      </c>
      <c r="AG34" s="158" t="e">
        <f>#REF!</f>
        <v>#REF!</v>
      </c>
      <c r="AH34" s="159"/>
      <c r="AI34" s="34" t="e">
        <f>#REF!</f>
        <v>#REF!</v>
      </c>
      <c r="AK34" s="14" t="str">
        <f>AK33</f>
        <v>12 months after exit</v>
      </c>
      <c r="AL34" s="15"/>
      <c r="AM34" s="175" t="e">
        <f>#REF!</f>
        <v>#REF!</v>
      </c>
      <c r="AN34" s="158" t="e">
        <f>#REF!</f>
        <v>#REF!</v>
      </c>
      <c r="AO34" s="158" t="e">
        <f>#REF!</f>
        <v>#REF!</v>
      </c>
      <c r="AP34" s="158" t="e">
        <f>#REF!</f>
        <v>#REF!</v>
      </c>
      <c r="AQ34" s="158" t="e">
        <f>#REF!</f>
        <v>#REF!</v>
      </c>
      <c r="AR34" s="158" t="e">
        <f>#REF!</f>
        <v>#REF!</v>
      </c>
      <c r="AS34" s="158" t="e">
        <f>#REF!</f>
        <v>#REF!</v>
      </c>
      <c r="AT34" s="159" t="e">
        <f>#REF!</f>
        <v>#REF!</v>
      </c>
      <c r="AU34" s="34" t="e">
        <f>#REF!</f>
        <v>#REF!</v>
      </c>
      <c r="AW34" s="14" t="str">
        <f>AW33</f>
        <v>12 months after exit</v>
      </c>
      <c r="AX34" s="15"/>
      <c r="AY34" s="175" t="e">
        <f>#REF!</f>
        <v>#REF!</v>
      </c>
      <c r="AZ34" s="158"/>
      <c r="BA34" s="158" t="e">
        <f>#REF!</f>
        <v>#REF!</v>
      </c>
      <c r="BB34" s="158"/>
      <c r="BC34" s="158" t="e">
        <f>#REF!</f>
        <v>#REF!</v>
      </c>
      <c r="BD34" s="158" t="e">
        <f>#REF!</f>
        <v>#REF!</v>
      </c>
      <c r="BE34" s="158"/>
      <c r="BF34" s="159"/>
      <c r="BG34" s="34" t="e">
        <f>#REF!</f>
        <v>#REF!</v>
      </c>
      <c r="BI34" s="69"/>
      <c r="BK34" s="265"/>
    </row>
    <row r="35" spans="1:63" x14ac:dyDescent="0.2">
      <c r="A35" s="183" t="s">
        <v>97</v>
      </c>
      <c r="B35" s="179"/>
      <c r="C35" s="172" t="str">
        <f t="shared" ref="C35:K35" si="41">C$18</f>
        <v>Total</v>
      </c>
      <c r="D35" s="180" t="str">
        <f>D$18</f>
        <v>Employment</v>
      </c>
      <c r="E35" s="180" t="str">
        <f t="shared" ref="E35:J35" si="42">E$18</f>
        <v>Education</v>
      </c>
      <c r="F35" s="180" t="str">
        <f t="shared" si="42"/>
        <v>Apprenticeship</v>
      </c>
      <c r="G35" s="180" t="str">
        <f t="shared" si="42"/>
        <v>Traineeship</v>
      </c>
      <c r="H35" s="180" t="str">
        <f t="shared" si="42"/>
        <v>Unemployment</v>
      </c>
      <c r="I35" s="180" t="str">
        <f t="shared" si="42"/>
        <v>Inactivity</v>
      </c>
      <c r="J35" s="180" t="str">
        <f t="shared" si="42"/>
        <v>Not applicable</v>
      </c>
      <c r="K35" s="182" t="str">
        <f t="shared" si="41"/>
        <v>Unknown</v>
      </c>
      <c r="M35" s="183" t="s">
        <v>97</v>
      </c>
      <c r="N35" s="179"/>
      <c r="O35" s="172" t="str">
        <f t="shared" ref="O35:W35" si="43">O$18</f>
        <v>Total</v>
      </c>
      <c r="P35" s="180" t="str">
        <f>P$18</f>
        <v>Employment</v>
      </c>
      <c r="Q35" s="180" t="str">
        <f t="shared" si="43"/>
        <v>Education</v>
      </c>
      <c r="R35" s="180" t="str">
        <f t="shared" si="43"/>
        <v>Apprenticeship</v>
      </c>
      <c r="S35" s="180" t="str">
        <f t="shared" si="43"/>
        <v>Traineeship</v>
      </c>
      <c r="T35" s="180" t="str">
        <f t="shared" si="43"/>
        <v>Unemployment</v>
      </c>
      <c r="U35" s="181" t="str">
        <f t="shared" si="43"/>
        <v>Inactivity</v>
      </c>
      <c r="V35" s="180" t="str">
        <f t="shared" si="43"/>
        <v>Not applicable</v>
      </c>
      <c r="W35" s="182" t="str">
        <f t="shared" si="43"/>
        <v>Unknown</v>
      </c>
      <c r="Y35" s="183" t="s">
        <v>97</v>
      </c>
      <c r="Z35" s="179"/>
      <c r="AA35" s="172" t="str">
        <f t="shared" ref="AA35:AI35" si="44">AA$18</f>
        <v>Total</v>
      </c>
      <c r="AB35" s="180" t="str">
        <f t="shared" si="44"/>
        <v>Apprenticeship</v>
      </c>
      <c r="AC35" s="180" t="str">
        <f t="shared" si="44"/>
        <v>Education</v>
      </c>
      <c r="AD35" s="180" t="str">
        <f t="shared" si="44"/>
        <v>Apprenticeship</v>
      </c>
      <c r="AE35" s="180" t="str">
        <f t="shared" si="44"/>
        <v>Traineeship</v>
      </c>
      <c r="AF35" s="180" t="str">
        <f t="shared" si="44"/>
        <v>Unemployment</v>
      </c>
      <c r="AG35" s="181" t="str">
        <f t="shared" si="44"/>
        <v>Inactivity</v>
      </c>
      <c r="AH35" s="181" t="str">
        <f t="shared" si="44"/>
        <v>Not applicable</v>
      </c>
      <c r="AI35" s="182" t="str">
        <f t="shared" si="44"/>
        <v>Unknown</v>
      </c>
      <c r="AK35" s="183" t="s">
        <v>97</v>
      </c>
      <c r="AL35" s="179"/>
      <c r="AM35" s="172" t="str">
        <f t="shared" ref="AM35:AU35" si="45">AM$18</f>
        <v>Total</v>
      </c>
      <c r="AN35" s="180" t="str">
        <f t="shared" si="45"/>
        <v>Education</v>
      </c>
      <c r="AO35" s="180" t="str">
        <f t="shared" si="45"/>
        <v>Apprenticeship</v>
      </c>
      <c r="AP35" s="180" t="str">
        <f t="shared" si="45"/>
        <v>Education</v>
      </c>
      <c r="AQ35" s="180" t="str">
        <f t="shared" si="45"/>
        <v>Apprenticeship</v>
      </c>
      <c r="AR35" s="180" t="str">
        <f t="shared" si="45"/>
        <v>Traineeship</v>
      </c>
      <c r="AS35" s="181" t="str">
        <f t="shared" si="45"/>
        <v>Unemployment</v>
      </c>
      <c r="AT35" s="181" t="str">
        <f t="shared" si="45"/>
        <v>Inactivity</v>
      </c>
      <c r="AU35" s="182" t="str">
        <f t="shared" si="45"/>
        <v>Unknown</v>
      </c>
      <c r="AW35" s="183" t="s">
        <v>97</v>
      </c>
      <c r="AX35" s="179"/>
      <c r="AY35" s="172" t="str">
        <f t="shared" ref="AY35" si="46">AY$18</f>
        <v>Total</v>
      </c>
      <c r="AZ35" s="180"/>
      <c r="BA35" s="180" t="str">
        <f t="shared" ref="BA35" si="47">BA$18</f>
        <v>Apprenticeship</v>
      </c>
      <c r="BB35" s="180"/>
      <c r="BC35" s="180" t="str">
        <f t="shared" ref="BC35:BD35" si="48">BC$18</f>
        <v>Apprenticeship</v>
      </c>
      <c r="BD35" s="180" t="str">
        <f t="shared" si="48"/>
        <v>Traineeship</v>
      </c>
      <c r="BE35" s="181"/>
      <c r="BF35" s="181"/>
      <c r="BG35" s="182" t="str">
        <f t="shared" ref="BG35" si="49">BG$18</f>
        <v>Unknown</v>
      </c>
      <c r="BI35" s="69" t="str" cm="1">
        <f t="array" ref="BI35">IF(OR(SUM(IF(O36:W39&lt;(O41:W44+O46:W49),1,0)),SUM(IF(C36:K39&lt;(C41:K44+C46:K49),1,0)),SUM(IF(AA36:AI39&lt;(AA41:AI44+AA46:AI49),1,0)), SUM(IF(AM36:AU39&lt;(AM41:AU44+AM46:AU49),1,0)), SUM(IF(AY36:BG39&lt;(AY41:BG44+AY46:BG49),1,0))),"!! Check sum by sex for one or more columns/rows","")</f>
        <v/>
      </c>
      <c r="BK35" s="265"/>
    </row>
    <row r="36" spans="1:63" x14ac:dyDescent="0.2">
      <c r="A36" s="2"/>
      <c r="B36" s="6" t="s">
        <v>578</v>
      </c>
      <c r="C36" s="173"/>
      <c r="D36" s="126"/>
      <c r="E36" s="126"/>
      <c r="F36" s="126"/>
      <c r="G36" s="126"/>
      <c r="H36" s="126"/>
      <c r="I36" s="126"/>
      <c r="J36" s="126"/>
      <c r="K36" s="123">
        <f t="shared" ref="K36:K38" si="50">C36-SUM(D36:G36,H36:I36,J36)</f>
        <v>0</v>
      </c>
      <c r="M36" s="2"/>
      <c r="N36" s="6" t="s">
        <v>578</v>
      </c>
      <c r="O36" s="173"/>
      <c r="P36" s="126"/>
      <c r="Q36" s="126"/>
      <c r="R36" s="126"/>
      <c r="S36" s="126"/>
      <c r="T36" s="126"/>
      <c r="U36" s="126"/>
      <c r="V36" s="126"/>
      <c r="W36" s="123">
        <f t="shared" ref="W36:W38" si="51">O36-SUM(P36:S36,T36:U36,V36)</f>
        <v>0</v>
      </c>
      <c r="Y36" s="2"/>
      <c r="Z36" s="6" t="s">
        <v>578</v>
      </c>
      <c r="AA36" s="173"/>
      <c r="AB36" s="126"/>
      <c r="AC36" s="126"/>
      <c r="AD36" s="126"/>
      <c r="AE36" s="126"/>
      <c r="AF36" s="126"/>
      <c r="AG36" s="126"/>
      <c r="AH36" s="126"/>
      <c r="AI36" s="123">
        <f t="shared" ref="AI36:AI38" si="52">AA36-SUM(AB36:AE36,AF36:AG36,AH36)</f>
        <v>0</v>
      </c>
      <c r="AK36" s="2"/>
      <c r="AL36" s="6" t="s">
        <v>578</v>
      </c>
      <c r="AM36" s="173"/>
      <c r="AN36" s="126"/>
      <c r="AO36" s="126"/>
      <c r="AP36" s="126"/>
      <c r="AQ36" s="126"/>
      <c r="AR36" s="126"/>
      <c r="AS36" s="126"/>
      <c r="AT36" s="126"/>
      <c r="AU36" s="123">
        <f t="shared" ref="AU36:AU38" si="53">AM36-SUM(AN36:AQ36,AR36:AS36,AT36)</f>
        <v>0</v>
      </c>
      <c r="AW36" s="2"/>
      <c r="AX36" s="6" t="s">
        <v>578</v>
      </c>
      <c r="AY36" s="173"/>
      <c r="AZ36" s="126"/>
      <c r="BA36" s="126"/>
      <c r="BB36" s="126"/>
      <c r="BC36" s="126"/>
      <c r="BD36" s="126"/>
      <c r="BE36" s="126"/>
      <c r="BF36" s="212"/>
      <c r="BG36" s="123">
        <f t="shared" ref="BG36:BG38" si="54">AY36-SUM(AZ36:BC36,BD36:BE36,BF36)</f>
        <v>0</v>
      </c>
      <c r="BI36" s="261" t="str">
        <f>IF(OR(K36&lt;0,W36&lt;0,AI36&lt;0,AU36&lt;0,BG36&lt;0),"!! Total must be &gt;= sum by situation",IF(OR(C36&lt;SUM(O36,AA36,AM36,AY36),D36&lt;SUM(P36,AB36,AN36,AZ36),E36&lt;SUM(Q36,AC36,AO36,BA36),F36&lt;SUM(R36,AD36,AP36,BB36),G36&lt;SUM(S36,AE36,AQ36,BC36),H36&lt;SUM(T36,AF36,AR36,BD36),I36&lt;SUM(U36,AG36,AS36,BE36),J36&lt;SUM(V36,AH36,AT36,BF36)),"!! Values in FU1 must be &gt;= sum of values in FU2 - FU5",""))</f>
        <v/>
      </c>
      <c r="BK36" s="265"/>
    </row>
    <row r="37" spans="1:63" x14ac:dyDescent="0.2">
      <c r="A37" s="2"/>
      <c r="B37" s="6" t="s">
        <v>6</v>
      </c>
      <c r="C37" s="173"/>
      <c r="D37" s="126"/>
      <c r="E37" s="126"/>
      <c r="F37" s="126"/>
      <c r="G37" s="126"/>
      <c r="H37" s="126"/>
      <c r="I37" s="126"/>
      <c r="J37" s="126"/>
      <c r="K37" s="123">
        <f t="shared" si="50"/>
        <v>0</v>
      </c>
      <c r="M37" s="2"/>
      <c r="N37" s="6" t="s">
        <v>6</v>
      </c>
      <c r="O37" s="173"/>
      <c r="P37" s="126"/>
      <c r="Q37" s="127"/>
      <c r="R37" s="127"/>
      <c r="S37" s="127"/>
      <c r="T37" s="127"/>
      <c r="U37" s="127"/>
      <c r="V37" s="126"/>
      <c r="W37" s="123">
        <f t="shared" si="51"/>
        <v>0</v>
      </c>
      <c r="Y37" s="2"/>
      <c r="Z37" s="6" t="s">
        <v>6</v>
      </c>
      <c r="AA37" s="173"/>
      <c r="AB37" s="127"/>
      <c r="AC37" s="127"/>
      <c r="AD37" s="127"/>
      <c r="AE37" s="127"/>
      <c r="AF37" s="127"/>
      <c r="AG37" s="127"/>
      <c r="AH37" s="127"/>
      <c r="AI37" s="123">
        <f t="shared" si="52"/>
        <v>0</v>
      </c>
      <c r="AK37" s="2"/>
      <c r="AL37" s="6" t="s">
        <v>6</v>
      </c>
      <c r="AM37" s="173"/>
      <c r="AN37" s="126"/>
      <c r="AO37" s="126"/>
      <c r="AP37" s="126"/>
      <c r="AQ37" s="126"/>
      <c r="AR37" s="126"/>
      <c r="AS37" s="126"/>
      <c r="AT37" s="127"/>
      <c r="AU37" s="123">
        <f t="shared" si="53"/>
        <v>0</v>
      </c>
      <c r="AW37" s="2"/>
      <c r="AX37" s="6" t="s">
        <v>6</v>
      </c>
      <c r="AY37" s="173"/>
      <c r="AZ37" s="126"/>
      <c r="BA37" s="127"/>
      <c r="BB37" s="127"/>
      <c r="BC37" s="127"/>
      <c r="BD37" s="127"/>
      <c r="BE37" s="127"/>
      <c r="BF37" s="127"/>
      <c r="BG37" s="123">
        <f t="shared" si="54"/>
        <v>0</v>
      </c>
      <c r="BI37" s="69" t="str">
        <f>IF(OR(K37&lt;0,W37&lt;0,AI37&lt;0,AU37&lt;0,BG37&lt;0),"!! Total must be &gt;= sum by situation",IF(OR(C37&lt;SUM(O37,AA37,AM37,AY37),D37&lt;SUM(P37,AB37,AN37,AZ37),E37&lt;SUM(Q37,AC37,AO37,BA37),F37&lt;SUM(R37,AD37,AP37,BB37),G37&lt;SUM(S37,AE37,AQ37,BC37),H37&lt;SUM(T37,AF37,AR37,BD37),I37&lt;SUM(U37,AG37,AS37,BE37),J37&lt;SUM(V37,AH37,AT37,BF37)),"!! Values in FU1 must be &gt;= sum of values in FU2 - FU5",""))</f>
        <v/>
      </c>
      <c r="BK37" s="265"/>
    </row>
    <row r="38" spans="1:63" x14ac:dyDescent="0.2">
      <c r="A38" s="2"/>
      <c r="B38" s="6" t="s">
        <v>7</v>
      </c>
      <c r="C38" s="173"/>
      <c r="D38" s="126"/>
      <c r="E38" s="126"/>
      <c r="F38" s="126"/>
      <c r="G38" s="126"/>
      <c r="H38" s="126"/>
      <c r="I38" s="126"/>
      <c r="J38" s="126"/>
      <c r="K38" s="123">
        <f t="shared" si="50"/>
        <v>0</v>
      </c>
      <c r="M38" s="2"/>
      <c r="N38" s="6" t="s">
        <v>7</v>
      </c>
      <c r="O38" s="173"/>
      <c r="P38" s="126"/>
      <c r="Q38" s="126"/>
      <c r="R38" s="126"/>
      <c r="S38" s="126"/>
      <c r="T38" s="126"/>
      <c r="U38" s="126"/>
      <c r="V38" s="126"/>
      <c r="W38" s="123">
        <f t="shared" si="51"/>
        <v>0</v>
      </c>
      <c r="Y38" s="2"/>
      <c r="Z38" s="6" t="s">
        <v>7</v>
      </c>
      <c r="AA38" s="173"/>
      <c r="AB38" s="126"/>
      <c r="AC38" s="127"/>
      <c r="AD38" s="126"/>
      <c r="AE38" s="126"/>
      <c r="AF38" s="126"/>
      <c r="AG38" s="126"/>
      <c r="AH38" s="127"/>
      <c r="AI38" s="123">
        <f t="shared" si="52"/>
        <v>0</v>
      </c>
      <c r="AK38" s="2"/>
      <c r="AL38" s="6" t="s">
        <v>7</v>
      </c>
      <c r="AM38" s="173"/>
      <c r="AN38" s="126"/>
      <c r="AO38" s="126"/>
      <c r="AP38" s="126"/>
      <c r="AQ38" s="126"/>
      <c r="AR38" s="126"/>
      <c r="AS38" s="126"/>
      <c r="AT38" s="127"/>
      <c r="AU38" s="123">
        <f t="shared" si="53"/>
        <v>0</v>
      </c>
      <c r="AW38" s="2"/>
      <c r="AX38" s="6" t="s">
        <v>7</v>
      </c>
      <c r="AY38" s="173"/>
      <c r="AZ38" s="126"/>
      <c r="BA38" s="126"/>
      <c r="BB38" s="126"/>
      <c r="BC38" s="126"/>
      <c r="BD38" s="126"/>
      <c r="BE38" s="126"/>
      <c r="BF38" s="127"/>
      <c r="BG38" s="123">
        <f t="shared" si="54"/>
        <v>0</v>
      </c>
      <c r="BI38" s="69" t="str">
        <f t="shared" ref="BI38:BI39" si="55">IF(OR(K38&lt;0,W38&lt;0,AI38&lt;0,AU38&lt;0,BG38&lt;0),"!! Total must be &gt;= sum by situation",IF(OR(C38&lt;SUM(O38,AA38,AM38,AY38),D38&lt;SUM(P38,AB38,AN38,AZ38),E38&lt;SUM(Q38,AC38,AO38,BA38),F38&lt;SUM(R38,AD38,AP38,BB38),G38&lt;SUM(S38,AE38,AQ38,BC38),H38&lt;SUM(T38,AF38,AR38,BD38),I38&lt;SUM(U38,AG38,AS38,BE38),J38&lt;SUM(V38,AH38,AT38,BF38)),"!! Values in FU1 must be &gt;= sum of values in FU2 - FU5",""))</f>
        <v/>
      </c>
      <c r="BK38" s="265"/>
    </row>
    <row r="39" spans="1:63" x14ac:dyDescent="0.2">
      <c r="A39" s="2"/>
      <c r="B39" s="6" t="s">
        <v>577</v>
      </c>
      <c r="C39" s="173"/>
      <c r="D39" s="126"/>
      <c r="E39" s="126"/>
      <c r="F39" s="126"/>
      <c r="G39" s="126"/>
      <c r="H39" s="126"/>
      <c r="I39" s="126"/>
      <c r="J39" s="126"/>
      <c r="K39" s="123">
        <f>C39-SUM(D39:G39,H39:I39,J39)</f>
        <v>0</v>
      </c>
      <c r="M39" s="2"/>
      <c r="N39" s="6" t="s">
        <v>577</v>
      </c>
      <c r="O39" s="173"/>
      <c r="P39" s="126"/>
      <c r="Q39" s="127"/>
      <c r="R39" s="127"/>
      <c r="S39" s="127"/>
      <c r="T39" s="127"/>
      <c r="U39" s="127"/>
      <c r="V39" s="126"/>
      <c r="W39" s="123">
        <f>O39-SUM(P39:S39,T39:U39,V39)</f>
        <v>0</v>
      </c>
      <c r="Y39" s="2"/>
      <c r="Z39" s="6" t="s">
        <v>577</v>
      </c>
      <c r="AA39" s="173"/>
      <c r="AB39" s="127"/>
      <c r="AC39" s="127"/>
      <c r="AD39" s="127"/>
      <c r="AE39" s="127"/>
      <c r="AF39" s="127"/>
      <c r="AG39" s="127"/>
      <c r="AH39" s="127"/>
      <c r="AI39" s="123">
        <f>AA39-SUM(AB39:AE39,AF39:AG39,AH39)</f>
        <v>0</v>
      </c>
      <c r="AK39" s="2"/>
      <c r="AL39" s="6" t="s">
        <v>577</v>
      </c>
      <c r="AM39" s="173"/>
      <c r="AN39" s="126"/>
      <c r="AO39" s="126"/>
      <c r="AP39" s="126"/>
      <c r="AQ39" s="126"/>
      <c r="AR39" s="126"/>
      <c r="AS39" s="126"/>
      <c r="AT39" s="127"/>
      <c r="AU39" s="123">
        <f>AM39-SUM(AN39:AQ39,AR39:AS39,AT39)</f>
        <v>0</v>
      </c>
      <c r="AW39" s="2"/>
      <c r="AX39" s="6" t="s">
        <v>577</v>
      </c>
      <c r="AY39" s="173"/>
      <c r="AZ39" s="126"/>
      <c r="BA39" s="127"/>
      <c r="BB39" s="127"/>
      <c r="BC39" s="127"/>
      <c r="BD39" s="127"/>
      <c r="BE39" s="127"/>
      <c r="BF39" s="127"/>
      <c r="BG39" s="123">
        <f>AY39-SUM(AZ39:BC39,BD39:BE39,BF39)</f>
        <v>0</v>
      </c>
      <c r="BI39" s="69" t="str">
        <f t="shared" si="55"/>
        <v/>
      </c>
      <c r="BK39" s="265"/>
    </row>
    <row r="40" spans="1:63" x14ac:dyDescent="0.2">
      <c r="A40" s="4" t="s">
        <v>4</v>
      </c>
      <c r="B40" s="179"/>
      <c r="C40" s="172" t="str">
        <f t="shared" ref="C40:K40" si="56">C$18</f>
        <v>Total</v>
      </c>
      <c r="D40" s="180" t="str">
        <f>D$18</f>
        <v>Employment</v>
      </c>
      <c r="E40" s="180" t="str">
        <f t="shared" ref="E40:J40" si="57">E$18</f>
        <v>Education</v>
      </c>
      <c r="F40" s="180" t="str">
        <f t="shared" si="57"/>
        <v>Apprenticeship</v>
      </c>
      <c r="G40" s="180" t="str">
        <f t="shared" si="57"/>
        <v>Traineeship</v>
      </c>
      <c r="H40" s="180" t="str">
        <f t="shared" si="57"/>
        <v>Unemployment</v>
      </c>
      <c r="I40" s="180" t="str">
        <f t="shared" si="57"/>
        <v>Inactivity</v>
      </c>
      <c r="J40" s="180" t="str">
        <f t="shared" si="57"/>
        <v>Not applicable</v>
      </c>
      <c r="K40" s="182" t="str">
        <f t="shared" si="56"/>
        <v>Unknown</v>
      </c>
      <c r="M40" s="183" t="s">
        <v>4</v>
      </c>
      <c r="N40" s="179"/>
      <c r="O40" s="172" t="str">
        <f t="shared" ref="O40:W40" si="58">O$18</f>
        <v>Total</v>
      </c>
      <c r="P40" s="180" t="str">
        <f>P$18</f>
        <v>Employment</v>
      </c>
      <c r="Q40" s="180" t="str">
        <f t="shared" si="58"/>
        <v>Education</v>
      </c>
      <c r="R40" s="180" t="str">
        <f t="shared" si="58"/>
        <v>Apprenticeship</v>
      </c>
      <c r="S40" s="180" t="str">
        <f t="shared" si="58"/>
        <v>Traineeship</v>
      </c>
      <c r="T40" s="180" t="str">
        <f t="shared" si="58"/>
        <v>Unemployment</v>
      </c>
      <c r="U40" s="181" t="str">
        <f t="shared" si="58"/>
        <v>Inactivity</v>
      </c>
      <c r="V40" s="180" t="str">
        <f t="shared" si="58"/>
        <v>Not applicable</v>
      </c>
      <c r="W40" s="182" t="str">
        <f t="shared" si="58"/>
        <v>Unknown</v>
      </c>
      <c r="Y40" s="183" t="s">
        <v>4</v>
      </c>
      <c r="Z40" s="179"/>
      <c r="AA40" s="172" t="str">
        <f t="shared" ref="AA40:AI40" si="59">AA$18</f>
        <v>Total</v>
      </c>
      <c r="AB40" s="180" t="str">
        <f t="shared" si="59"/>
        <v>Apprenticeship</v>
      </c>
      <c r="AC40" s="180" t="str">
        <f t="shared" si="59"/>
        <v>Education</v>
      </c>
      <c r="AD40" s="180" t="str">
        <f t="shared" si="59"/>
        <v>Apprenticeship</v>
      </c>
      <c r="AE40" s="180" t="str">
        <f t="shared" si="59"/>
        <v>Traineeship</v>
      </c>
      <c r="AF40" s="180" t="str">
        <f t="shared" si="59"/>
        <v>Unemployment</v>
      </c>
      <c r="AG40" s="181" t="str">
        <f t="shared" si="59"/>
        <v>Inactivity</v>
      </c>
      <c r="AH40" s="181" t="str">
        <f t="shared" si="59"/>
        <v>Not applicable</v>
      </c>
      <c r="AI40" s="182" t="str">
        <f t="shared" si="59"/>
        <v>Unknown</v>
      </c>
      <c r="AK40" s="183" t="s">
        <v>4</v>
      </c>
      <c r="AL40" s="179"/>
      <c r="AM40" s="172" t="str">
        <f t="shared" ref="AM40" si="60">AM$18</f>
        <v>Total</v>
      </c>
      <c r="AN40" s="180" t="str">
        <f t="shared" ref="AN40:AT40" si="61">AN$18</f>
        <v>Education</v>
      </c>
      <c r="AO40" s="180" t="str">
        <f t="shared" si="61"/>
        <v>Apprenticeship</v>
      </c>
      <c r="AP40" s="180" t="str">
        <f t="shared" si="61"/>
        <v>Education</v>
      </c>
      <c r="AQ40" s="180" t="str">
        <f t="shared" si="61"/>
        <v>Apprenticeship</v>
      </c>
      <c r="AR40" s="180" t="str">
        <f t="shared" si="61"/>
        <v>Traineeship</v>
      </c>
      <c r="AS40" s="181" t="str">
        <f t="shared" si="61"/>
        <v>Unemployment</v>
      </c>
      <c r="AT40" s="181" t="str">
        <f t="shared" si="61"/>
        <v>Inactivity</v>
      </c>
      <c r="AU40" s="182" t="str">
        <f t="shared" ref="AU40" si="62">AU$18</f>
        <v>Unknown</v>
      </c>
      <c r="AW40" s="183" t="s">
        <v>4</v>
      </c>
      <c r="AX40" s="179"/>
      <c r="AY40" s="172" t="str">
        <f t="shared" ref="AY40" si="63">AY$18</f>
        <v>Total</v>
      </c>
      <c r="AZ40" s="180"/>
      <c r="BA40" s="180" t="str">
        <f t="shared" ref="BA40" si="64">BA$18</f>
        <v>Apprenticeship</v>
      </c>
      <c r="BB40" s="180"/>
      <c r="BC40" s="180" t="str">
        <f t="shared" ref="BC40:BD40" si="65">BC$18</f>
        <v>Apprenticeship</v>
      </c>
      <c r="BD40" s="180" t="str">
        <f t="shared" si="65"/>
        <v>Traineeship</v>
      </c>
      <c r="BE40" s="181"/>
      <c r="BF40" s="181"/>
      <c r="BG40" s="182" t="str">
        <f t="shared" ref="BG40" si="66">BG$18</f>
        <v>Unknown</v>
      </c>
      <c r="BI40" s="69"/>
      <c r="BK40" s="265"/>
    </row>
    <row r="41" spans="1:63" x14ac:dyDescent="0.2">
      <c r="A41" s="2"/>
      <c r="B41" s="6" t="s">
        <v>578</v>
      </c>
      <c r="C41" s="173"/>
      <c r="D41" s="126"/>
      <c r="E41" s="126"/>
      <c r="F41" s="126"/>
      <c r="G41" s="126"/>
      <c r="H41" s="126"/>
      <c r="I41" s="126"/>
      <c r="J41" s="126"/>
      <c r="K41" s="123">
        <f>C41-SUM(D41:G41,H41:I41,J41)</f>
        <v>0</v>
      </c>
      <c r="M41" s="2"/>
      <c r="N41" s="6" t="s">
        <v>578</v>
      </c>
      <c r="O41" s="173"/>
      <c r="P41" s="126"/>
      <c r="Q41" s="126"/>
      <c r="R41" s="126"/>
      <c r="S41" s="126"/>
      <c r="T41" s="126"/>
      <c r="U41" s="126"/>
      <c r="V41" s="126"/>
      <c r="W41" s="123">
        <f t="shared" ref="W41:W44" si="67">O41-SUM(P41:S41,T41:U41,V41)</f>
        <v>0</v>
      </c>
      <c r="Y41" s="2"/>
      <c r="Z41" s="6" t="s">
        <v>578</v>
      </c>
      <c r="AA41" s="173"/>
      <c r="AB41" s="126"/>
      <c r="AC41" s="126"/>
      <c r="AD41" s="126"/>
      <c r="AE41" s="126"/>
      <c r="AF41" s="126"/>
      <c r="AG41" s="126"/>
      <c r="AH41" s="126"/>
      <c r="AI41" s="123">
        <f t="shared" ref="AI41:AI44" si="68">AA41-SUM(AB41:AE41,AF41:AG41,AH41)</f>
        <v>0</v>
      </c>
      <c r="AK41" s="2"/>
      <c r="AL41" s="6" t="s">
        <v>578</v>
      </c>
      <c r="AM41" s="173"/>
      <c r="AN41" s="126"/>
      <c r="AO41" s="126"/>
      <c r="AP41" s="126"/>
      <c r="AQ41" s="126"/>
      <c r="AR41" s="126"/>
      <c r="AS41" s="126"/>
      <c r="AT41" s="212"/>
      <c r="AU41" s="123">
        <f t="shared" ref="AU41:AU44" si="69">AM41-SUM(AN41:AQ41,AR41:AS41,AT41)</f>
        <v>0</v>
      </c>
      <c r="AW41" s="2"/>
      <c r="AX41" s="6" t="s">
        <v>578</v>
      </c>
      <c r="AY41" s="173"/>
      <c r="AZ41" s="126"/>
      <c r="BA41" s="126"/>
      <c r="BB41" s="126"/>
      <c r="BC41" s="126"/>
      <c r="BD41" s="126"/>
      <c r="BE41" s="126"/>
      <c r="BF41" s="126"/>
      <c r="BG41" s="123">
        <f t="shared" ref="BG41:BG44" si="70">AY41-SUM(AZ41:BC41,BD41:BE41,BF41)</f>
        <v>0</v>
      </c>
      <c r="BI41" s="69" t="str">
        <f>IF(OR(K41&lt;0,W41&lt;0,AI41&lt;0,AU41&lt;0,BG41&lt;0),"!! Total must be &gt;= sum by situation",IF(OR(C41&lt;SUM(O41,AA41,AM41,AY41),D41&lt;SUM(P41,AB41,AN41,AZ41),E41&lt;SUM(Q41,AC41,AO41,BA41),F41&lt;SUM(R41,AD41,AP41,BB41),G41&lt;SUM(S41,AE41,AQ41,BC41),H41&lt;SUM(T41,AF41,AR41,BD41),I41&lt;SUM(U41,AG41,AS41,BE41),J41&lt;SUM(V41,AH41,AT41,BF41)),"!! Values in FU1 must be &gt;= sum of values in FU2 - FU5",""))</f>
        <v/>
      </c>
      <c r="BK41" s="265"/>
    </row>
    <row r="42" spans="1:63" x14ac:dyDescent="0.2">
      <c r="A42" s="2"/>
      <c r="B42" s="6" t="s">
        <v>6</v>
      </c>
      <c r="C42" s="173"/>
      <c r="D42" s="126"/>
      <c r="E42" s="127"/>
      <c r="F42" s="127"/>
      <c r="G42" s="127"/>
      <c r="H42" s="127"/>
      <c r="I42" s="127"/>
      <c r="J42" s="127"/>
      <c r="K42" s="123">
        <f>C42-SUM(D42:G42,H42:I42,J42)</f>
        <v>0</v>
      </c>
      <c r="M42" s="2"/>
      <c r="N42" s="6" t="s">
        <v>6</v>
      </c>
      <c r="O42" s="173"/>
      <c r="P42" s="126"/>
      <c r="Q42" s="127"/>
      <c r="R42" s="127"/>
      <c r="S42" s="127"/>
      <c r="T42" s="127"/>
      <c r="U42" s="127"/>
      <c r="V42" s="127"/>
      <c r="W42" s="123">
        <f t="shared" si="67"/>
        <v>0</v>
      </c>
      <c r="Y42" s="2"/>
      <c r="Z42" s="6" t="s">
        <v>6</v>
      </c>
      <c r="AA42" s="173"/>
      <c r="AB42" s="127"/>
      <c r="AC42" s="127"/>
      <c r="AD42" s="127"/>
      <c r="AE42" s="127"/>
      <c r="AF42" s="127"/>
      <c r="AG42" s="127"/>
      <c r="AH42" s="127"/>
      <c r="AI42" s="123">
        <f t="shared" si="68"/>
        <v>0</v>
      </c>
      <c r="AK42" s="2"/>
      <c r="AL42" s="6" t="s">
        <v>6</v>
      </c>
      <c r="AM42" s="173"/>
      <c r="AN42" s="126"/>
      <c r="AO42" s="127"/>
      <c r="AP42" s="127"/>
      <c r="AQ42" s="127"/>
      <c r="AR42" s="127"/>
      <c r="AS42" s="127"/>
      <c r="AT42" s="127"/>
      <c r="AU42" s="123">
        <f t="shared" si="69"/>
        <v>0</v>
      </c>
      <c r="AW42" s="2"/>
      <c r="AX42" s="6" t="s">
        <v>6</v>
      </c>
      <c r="AY42" s="173"/>
      <c r="AZ42" s="126"/>
      <c r="BA42" s="127"/>
      <c r="BB42" s="127"/>
      <c r="BC42" s="127"/>
      <c r="BD42" s="127"/>
      <c r="BE42" s="127"/>
      <c r="BF42" s="127"/>
      <c r="BG42" s="123">
        <f t="shared" si="70"/>
        <v>0</v>
      </c>
      <c r="BI42" s="69" t="str">
        <f>IF(OR(K42&lt;0,W42&lt;0,AI42&lt;0,AU42&lt;0,BG42&lt;0),"!! Total must be &gt;= sum by situation",IF(OR(C42&lt;SUM(O42,AA42,AM42,AY42),D42&lt;SUM(P42,AB42,AN42,AZ42),E42&lt;SUM(Q42,AC42,AO42,BA42),F42&lt;SUM(R42,AD42,AP42,BB42),G42&lt;SUM(S42,AE42,AQ42,BC42),H42&lt;SUM(T42,AF42,AR42,BD42),I42&lt;SUM(U42,AG42,AS42,BE42),J42&lt;SUM(V42,AH42,AT42,BF42)),"!! Values in FU1 must be &gt;= sum of values in FU2 - FU5",""))</f>
        <v/>
      </c>
      <c r="BK42" s="265"/>
    </row>
    <row r="43" spans="1:63" x14ac:dyDescent="0.2">
      <c r="A43" s="2"/>
      <c r="B43" s="6" t="s">
        <v>7</v>
      </c>
      <c r="C43" s="173"/>
      <c r="D43" s="126"/>
      <c r="E43" s="126"/>
      <c r="F43" s="126"/>
      <c r="G43" s="126"/>
      <c r="H43" s="126"/>
      <c r="I43" s="126"/>
      <c r="J43" s="126"/>
      <c r="K43" s="123">
        <f t="shared" ref="K43:K44" si="71">C43-SUM(D43:G43,H43:I43,J43)</f>
        <v>0</v>
      </c>
      <c r="M43" s="2"/>
      <c r="N43" s="6" t="s">
        <v>7</v>
      </c>
      <c r="O43" s="173"/>
      <c r="P43" s="126"/>
      <c r="Q43" s="126"/>
      <c r="R43" s="126"/>
      <c r="S43" s="126"/>
      <c r="T43" s="126"/>
      <c r="U43" s="126"/>
      <c r="V43" s="126"/>
      <c r="W43" s="123">
        <f t="shared" si="67"/>
        <v>0</v>
      </c>
      <c r="Y43" s="2"/>
      <c r="Z43" s="6" t="s">
        <v>7</v>
      </c>
      <c r="AA43" s="173"/>
      <c r="AB43" s="126"/>
      <c r="AC43" s="127"/>
      <c r="AD43" s="126"/>
      <c r="AE43" s="126"/>
      <c r="AF43" s="126"/>
      <c r="AG43" s="126"/>
      <c r="AH43" s="127"/>
      <c r="AI43" s="123">
        <f t="shared" si="68"/>
        <v>0</v>
      </c>
      <c r="AK43" s="2"/>
      <c r="AL43" s="6" t="s">
        <v>7</v>
      </c>
      <c r="AM43" s="173"/>
      <c r="AN43" s="126"/>
      <c r="AO43" s="126"/>
      <c r="AP43" s="126"/>
      <c r="AQ43" s="126"/>
      <c r="AR43" s="126"/>
      <c r="AS43" s="126"/>
      <c r="AT43" s="127"/>
      <c r="AU43" s="123">
        <f t="shared" si="69"/>
        <v>0</v>
      </c>
      <c r="AW43" s="2"/>
      <c r="AX43" s="6" t="s">
        <v>7</v>
      </c>
      <c r="AY43" s="173"/>
      <c r="AZ43" s="126"/>
      <c r="BA43" s="126"/>
      <c r="BB43" s="126"/>
      <c r="BC43" s="126"/>
      <c r="BD43" s="126"/>
      <c r="BE43" s="126"/>
      <c r="BF43" s="127"/>
      <c r="BG43" s="123">
        <f t="shared" si="70"/>
        <v>0</v>
      </c>
      <c r="BI43" s="69" t="str">
        <f t="shared" ref="BI43:BI44" si="72">IF(OR(K43&lt;0,W43&lt;0,AI43&lt;0,AU43&lt;0,BG43&lt;0),"!! Total must be &gt;= sum by situation",IF(OR(C43&lt;SUM(O43,AA43,AM43,AY43),D43&lt;SUM(P43,AB43,AN43,AZ43),E43&lt;SUM(Q43,AC43,AO43,BA43),F43&lt;SUM(R43,AD43,AP43,BB43),G43&lt;SUM(S43,AE43,AQ43,BC43),H43&lt;SUM(T43,AF43,AR43,BD43),I43&lt;SUM(U43,AG43,AS43,BE43),J43&lt;SUM(V43,AH43,AT43,BF43)),"!! Values in FU1 must be &gt;= sum of values in FU2 - FU5",""))</f>
        <v/>
      </c>
      <c r="BK43" s="265"/>
    </row>
    <row r="44" spans="1:63" x14ac:dyDescent="0.2">
      <c r="A44" s="2"/>
      <c r="B44" s="6" t="s">
        <v>577</v>
      </c>
      <c r="C44" s="173"/>
      <c r="D44" s="126"/>
      <c r="E44" s="127"/>
      <c r="F44" s="127"/>
      <c r="G44" s="127"/>
      <c r="H44" s="127"/>
      <c r="I44" s="127"/>
      <c r="J44" s="127"/>
      <c r="K44" s="123">
        <f t="shared" si="71"/>
        <v>0</v>
      </c>
      <c r="M44" s="2"/>
      <c r="N44" s="6" t="s">
        <v>577</v>
      </c>
      <c r="O44" s="173"/>
      <c r="P44" s="126"/>
      <c r="Q44" s="127"/>
      <c r="R44" s="127"/>
      <c r="S44" s="127"/>
      <c r="T44" s="127"/>
      <c r="U44" s="127"/>
      <c r="V44" s="127"/>
      <c r="W44" s="123">
        <f t="shared" si="67"/>
        <v>0</v>
      </c>
      <c r="Y44" s="2"/>
      <c r="Z44" s="6" t="s">
        <v>577</v>
      </c>
      <c r="AA44" s="173"/>
      <c r="AB44" s="127"/>
      <c r="AC44" s="127"/>
      <c r="AD44" s="127"/>
      <c r="AE44" s="127"/>
      <c r="AF44" s="127"/>
      <c r="AG44" s="127"/>
      <c r="AH44" s="127"/>
      <c r="AI44" s="123">
        <f t="shared" si="68"/>
        <v>0</v>
      </c>
      <c r="AK44" s="2"/>
      <c r="AL44" s="6" t="s">
        <v>577</v>
      </c>
      <c r="AM44" s="173"/>
      <c r="AN44" s="126"/>
      <c r="AO44" s="127"/>
      <c r="AP44" s="127"/>
      <c r="AQ44" s="127"/>
      <c r="AR44" s="127"/>
      <c r="AS44" s="127"/>
      <c r="AT44" s="127"/>
      <c r="AU44" s="123">
        <f t="shared" si="69"/>
        <v>0</v>
      </c>
      <c r="AW44" s="2"/>
      <c r="AX44" s="6" t="s">
        <v>577</v>
      </c>
      <c r="AY44" s="173"/>
      <c r="AZ44" s="126"/>
      <c r="BA44" s="127"/>
      <c r="BB44" s="127"/>
      <c r="BC44" s="127"/>
      <c r="BD44" s="127"/>
      <c r="BE44" s="127"/>
      <c r="BF44" s="127"/>
      <c r="BG44" s="123">
        <f t="shared" si="70"/>
        <v>0</v>
      </c>
      <c r="BI44" s="69" t="str">
        <f t="shared" si="72"/>
        <v/>
      </c>
      <c r="BK44" s="265"/>
    </row>
    <row r="45" spans="1:63" x14ac:dyDescent="0.2">
      <c r="A45" s="183" t="s">
        <v>5</v>
      </c>
      <c r="B45" s="179"/>
      <c r="C45" s="172" t="str">
        <f t="shared" ref="C45:K45" si="73">C$18</f>
        <v>Total</v>
      </c>
      <c r="D45" s="180" t="str">
        <f>D$18</f>
        <v>Employment</v>
      </c>
      <c r="E45" s="180" t="str">
        <f t="shared" ref="E45:J45" si="74">E$18</f>
        <v>Education</v>
      </c>
      <c r="F45" s="180" t="str">
        <f t="shared" si="74"/>
        <v>Apprenticeship</v>
      </c>
      <c r="G45" s="180" t="str">
        <f t="shared" si="74"/>
        <v>Traineeship</v>
      </c>
      <c r="H45" s="180" t="str">
        <f t="shared" si="74"/>
        <v>Unemployment</v>
      </c>
      <c r="I45" s="180" t="str">
        <f t="shared" si="74"/>
        <v>Inactivity</v>
      </c>
      <c r="J45" s="180" t="str">
        <f t="shared" si="74"/>
        <v>Not applicable</v>
      </c>
      <c r="K45" s="182" t="str">
        <f t="shared" si="73"/>
        <v>Unknown</v>
      </c>
      <c r="M45" s="183" t="s">
        <v>5</v>
      </c>
      <c r="N45" s="179"/>
      <c r="O45" s="172" t="str">
        <f t="shared" ref="O45:W45" si="75">O$18</f>
        <v>Total</v>
      </c>
      <c r="P45" s="180" t="str">
        <f>P$18</f>
        <v>Employment</v>
      </c>
      <c r="Q45" s="180" t="str">
        <f t="shared" si="75"/>
        <v>Education</v>
      </c>
      <c r="R45" s="180" t="str">
        <f t="shared" si="75"/>
        <v>Apprenticeship</v>
      </c>
      <c r="S45" s="180" t="str">
        <f t="shared" si="75"/>
        <v>Traineeship</v>
      </c>
      <c r="T45" s="180" t="str">
        <f t="shared" si="75"/>
        <v>Unemployment</v>
      </c>
      <c r="U45" s="181" t="str">
        <f t="shared" si="75"/>
        <v>Inactivity</v>
      </c>
      <c r="V45" s="180" t="str">
        <f t="shared" si="75"/>
        <v>Not applicable</v>
      </c>
      <c r="W45" s="182" t="str">
        <f t="shared" si="75"/>
        <v>Unknown</v>
      </c>
      <c r="Y45" s="183" t="s">
        <v>5</v>
      </c>
      <c r="Z45" s="179"/>
      <c r="AA45" s="172" t="str">
        <f t="shared" ref="AA45:AI45" si="76">AA$18</f>
        <v>Total</v>
      </c>
      <c r="AB45" s="180" t="str">
        <f t="shared" si="76"/>
        <v>Apprenticeship</v>
      </c>
      <c r="AC45" s="180" t="str">
        <f t="shared" si="76"/>
        <v>Education</v>
      </c>
      <c r="AD45" s="180" t="str">
        <f t="shared" si="76"/>
        <v>Apprenticeship</v>
      </c>
      <c r="AE45" s="180" t="str">
        <f t="shared" si="76"/>
        <v>Traineeship</v>
      </c>
      <c r="AF45" s="180" t="str">
        <f t="shared" si="76"/>
        <v>Unemployment</v>
      </c>
      <c r="AG45" s="181" t="str">
        <f t="shared" si="76"/>
        <v>Inactivity</v>
      </c>
      <c r="AH45" s="181" t="str">
        <f t="shared" si="76"/>
        <v>Not applicable</v>
      </c>
      <c r="AI45" s="182" t="str">
        <f t="shared" si="76"/>
        <v>Unknown</v>
      </c>
      <c r="AK45" s="183" t="s">
        <v>5</v>
      </c>
      <c r="AL45" s="179"/>
      <c r="AM45" s="172" t="str">
        <f t="shared" ref="AM45:AU45" si="77">AM$18</f>
        <v>Total</v>
      </c>
      <c r="AN45" s="180" t="str">
        <f t="shared" ref="AN45:AT45" si="78">AN$18</f>
        <v>Education</v>
      </c>
      <c r="AO45" s="180" t="str">
        <f t="shared" si="78"/>
        <v>Apprenticeship</v>
      </c>
      <c r="AP45" s="180" t="str">
        <f t="shared" si="78"/>
        <v>Education</v>
      </c>
      <c r="AQ45" s="180" t="str">
        <f t="shared" si="78"/>
        <v>Apprenticeship</v>
      </c>
      <c r="AR45" s="180" t="str">
        <f t="shared" si="78"/>
        <v>Traineeship</v>
      </c>
      <c r="AS45" s="181" t="str">
        <f t="shared" si="78"/>
        <v>Unemployment</v>
      </c>
      <c r="AT45" s="181" t="str">
        <f t="shared" si="78"/>
        <v>Inactivity</v>
      </c>
      <c r="AU45" s="182" t="str">
        <f t="shared" si="77"/>
        <v>Unknown</v>
      </c>
      <c r="AW45" s="183" t="s">
        <v>5</v>
      </c>
      <c r="AX45" s="179"/>
      <c r="AY45" s="172" t="str">
        <f t="shared" ref="AY45" si="79">AY$18</f>
        <v>Total</v>
      </c>
      <c r="AZ45" s="180"/>
      <c r="BA45" s="180" t="str">
        <f t="shared" ref="BA45" si="80">BA$18</f>
        <v>Apprenticeship</v>
      </c>
      <c r="BB45" s="180"/>
      <c r="BC45" s="180" t="str">
        <f t="shared" ref="BC45:BD45" si="81">BC$18</f>
        <v>Apprenticeship</v>
      </c>
      <c r="BD45" s="180" t="str">
        <f t="shared" si="81"/>
        <v>Traineeship</v>
      </c>
      <c r="BE45" s="181"/>
      <c r="BF45" s="181"/>
      <c r="BG45" s="182" t="str">
        <f t="shared" ref="BG45" si="82">BG$18</f>
        <v>Unknown</v>
      </c>
      <c r="BI45" s="69"/>
      <c r="BK45" s="265"/>
    </row>
    <row r="46" spans="1:63" x14ac:dyDescent="0.2">
      <c r="A46" s="2"/>
      <c r="B46" s="6" t="s">
        <v>578</v>
      </c>
      <c r="C46" s="173"/>
      <c r="D46" s="126"/>
      <c r="E46" s="126"/>
      <c r="F46" s="126"/>
      <c r="G46" s="126"/>
      <c r="H46" s="126"/>
      <c r="I46" s="126"/>
      <c r="J46" s="126"/>
      <c r="K46" s="123">
        <f t="shared" ref="K46:K49" si="83">C46-SUM(D46:G46,H46:I46,J46)</f>
        <v>0</v>
      </c>
      <c r="M46" s="2"/>
      <c r="N46" s="6" t="s">
        <v>578</v>
      </c>
      <c r="O46" s="173"/>
      <c r="P46" s="126"/>
      <c r="Q46" s="126"/>
      <c r="R46" s="126"/>
      <c r="S46" s="126"/>
      <c r="T46" s="126"/>
      <c r="U46" s="126"/>
      <c r="V46" s="126"/>
      <c r="W46" s="123">
        <f t="shared" ref="W46:W49" si="84">O46-SUM(P46:S46,T46:U46,V46)</f>
        <v>0</v>
      </c>
      <c r="Y46" s="2"/>
      <c r="Z46" s="6" t="s">
        <v>578</v>
      </c>
      <c r="AA46" s="173"/>
      <c r="AB46" s="126"/>
      <c r="AC46" s="126"/>
      <c r="AD46" s="126"/>
      <c r="AE46" s="126"/>
      <c r="AF46" s="126"/>
      <c r="AG46" s="126"/>
      <c r="AH46" s="126"/>
      <c r="AI46" s="123">
        <f t="shared" ref="AI46:AI49" si="85">AA46-SUM(AB46:AE46,AF46:AG46,AH46)</f>
        <v>0</v>
      </c>
      <c r="AK46" s="2"/>
      <c r="AL46" s="6" t="s">
        <v>578</v>
      </c>
      <c r="AM46" s="173"/>
      <c r="AN46" s="126"/>
      <c r="AO46" s="126"/>
      <c r="AP46" s="126"/>
      <c r="AQ46" s="126"/>
      <c r="AR46" s="126"/>
      <c r="AS46" s="126"/>
      <c r="AT46" s="212"/>
      <c r="AU46" s="123">
        <f t="shared" ref="AU46:AU49" si="86">AM46-SUM(AN46:AQ46,AR46:AS46,AT46)</f>
        <v>0</v>
      </c>
      <c r="AW46" s="2"/>
      <c r="AX46" s="6" t="s">
        <v>578</v>
      </c>
      <c r="AY46" s="173"/>
      <c r="AZ46" s="126"/>
      <c r="BA46" s="126"/>
      <c r="BB46" s="126"/>
      <c r="BC46" s="126"/>
      <c r="BD46" s="126"/>
      <c r="BE46" s="126"/>
      <c r="BF46" s="126"/>
      <c r="BG46" s="123">
        <f t="shared" ref="BG46:BG49" si="87">AY46-SUM(AZ46:BC46,BD46:BE46,BF46)</f>
        <v>0</v>
      </c>
      <c r="BI46" s="69" t="str">
        <f>IF(OR(K46&lt;0,W46&lt;0,AI46&lt;0,AU46&lt;0,BG46&lt;0),"!! Total must be &gt;= sum by situation",IF(OR(C46&lt;SUM(O46,AA46,AM46,AY46),D46&lt;SUM(P46,AB46,AN46,AZ46),E46&lt;SUM(Q46,AC46,AO46,BA46),F46&lt;SUM(R46,AD46,AP46,BB46),G46&lt;SUM(S46,AE46,AQ46,BC46),H46&lt;SUM(T46,AF46,AR46,BD46),I46&lt;SUM(U46,AG46,AS46,BE46),J46&lt;SUM(V46,AH46,AT46,BF46)),"!! Values in FU1 must be &gt;= sum of values in FU2 - FU5",""))</f>
        <v/>
      </c>
      <c r="BK46" s="265"/>
    </row>
    <row r="47" spans="1:63" x14ac:dyDescent="0.2">
      <c r="A47" s="2"/>
      <c r="B47" s="6" t="s">
        <v>6</v>
      </c>
      <c r="C47" s="173"/>
      <c r="D47" s="126"/>
      <c r="E47" s="127"/>
      <c r="F47" s="127"/>
      <c r="G47" s="127"/>
      <c r="H47" s="127"/>
      <c r="I47" s="127"/>
      <c r="J47" s="127"/>
      <c r="K47" s="123">
        <f t="shared" si="83"/>
        <v>0</v>
      </c>
      <c r="M47" s="2"/>
      <c r="N47" s="6" t="s">
        <v>6</v>
      </c>
      <c r="O47" s="173"/>
      <c r="P47" s="126"/>
      <c r="Q47" s="127"/>
      <c r="R47" s="127"/>
      <c r="S47" s="127"/>
      <c r="T47" s="127"/>
      <c r="U47" s="127"/>
      <c r="V47" s="127"/>
      <c r="W47" s="123">
        <f t="shared" si="84"/>
        <v>0</v>
      </c>
      <c r="Y47" s="2"/>
      <c r="Z47" s="6" t="s">
        <v>6</v>
      </c>
      <c r="AA47" s="173"/>
      <c r="AB47" s="127"/>
      <c r="AC47" s="127"/>
      <c r="AD47" s="127"/>
      <c r="AE47" s="127"/>
      <c r="AF47" s="127"/>
      <c r="AG47" s="127"/>
      <c r="AH47" s="127"/>
      <c r="AI47" s="123">
        <f t="shared" si="85"/>
        <v>0</v>
      </c>
      <c r="AK47" s="2"/>
      <c r="AL47" s="6" t="s">
        <v>6</v>
      </c>
      <c r="AM47" s="173"/>
      <c r="AN47" s="126"/>
      <c r="AO47" s="127"/>
      <c r="AP47" s="127"/>
      <c r="AQ47" s="127"/>
      <c r="AR47" s="127"/>
      <c r="AS47" s="127"/>
      <c r="AT47" s="127"/>
      <c r="AU47" s="123">
        <f t="shared" si="86"/>
        <v>0</v>
      </c>
      <c r="AW47" s="2"/>
      <c r="AX47" s="6" t="s">
        <v>6</v>
      </c>
      <c r="AY47" s="173"/>
      <c r="AZ47" s="126"/>
      <c r="BA47" s="127"/>
      <c r="BB47" s="127"/>
      <c r="BC47" s="127"/>
      <c r="BD47" s="127"/>
      <c r="BE47" s="127"/>
      <c r="BF47" s="127"/>
      <c r="BG47" s="123">
        <f t="shared" si="87"/>
        <v>0</v>
      </c>
      <c r="BI47" s="69" t="str">
        <f>IF(OR(K47&lt;0,W47&lt;0,AI47&lt;0,AU47&lt;0,BG47&lt;0),"!! Total must be &gt;= sum by situation",IF(OR(C47&lt;SUM(O47,AA47,AM47,AY47),D47&lt;SUM(P47,AB47,AN47,AZ47),E47&lt;SUM(Q47,AC47,AO47,BA47),F47&lt;SUM(R47,AD47,AP47,BB47),G47&lt;SUM(S47,AE47,AQ47,BC47),H47&lt;SUM(T47,AF47,AR47,BD47),I47&lt;SUM(U47,AG47,AS47,BE47),J47&lt;SUM(V47,AH47,AT47,BF47)),"!! Values in FU1 must be &gt;= sum of values in FU2 - FU5",""))</f>
        <v/>
      </c>
      <c r="BK47" s="265"/>
    </row>
    <row r="48" spans="1:63" x14ac:dyDescent="0.2">
      <c r="A48" s="2"/>
      <c r="B48" s="6" t="s">
        <v>7</v>
      </c>
      <c r="C48" s="173"/>
      <c r="D48" s="126"/>
      <c r="E48" s="126"/>
      <c r="F48" s="126"/>
      <c r="G48" s="126"/>
      <c r="H48" s="126"/>
      <c r="I48" s="126"/>
      <c r="J48" s="126"/>
      <c r="K48" s="123">
        <f t="shared" si="83"/>
        <v>0</v>
      </c>
      <c r="M48" s="2"/>
      <c r="N48" s="6" t="s">
        <v>7</v>
      </c>
      <c r="O48" s="173"/>
      <c r="P48" s="126"/>
      <c r="Q48" s="126"/>
      <c r="R48" s="126"/>
      <c r="S48" s="126"/>
      <c r="T48" s="126"/>
      <c r="U48" s="126"/>
      <c r="V48" s="126"/>
      <c r="W48" s="123">
        <f t="shared" si="84"/>
        <v>0</v>
      </c>
      <c r="Y48" s="2"/>
      <c r="Z48" s="6" t="s">
        <v>7</v>
      </c>
      <c r="AA48" s="173"/>
      <c r="AB48" s="126"/>
      <c r="AC48" s="127"/>
      <c r="AD48" s="126"/>
      <c r="AE48" s="126"/>
      <c r="AF48" s="126"/>
      <c r="AG48" s="126"/>
      <c r="AH48" s="127"/>
      <c r="AI48" s="123">
        <f t="shared" si="85"/>
        <v>0</v>
      </c>
      <c r="AK48" s="2"/>
      <c r="AL48" s="6" t="s">
        <v>7</v>
      </c>
      <c r="AM48" s="173"/>
      <c r="AN48" s="126"/>
      <c r="AO48" s="126"/>
      <c r="AP48" s="126"/>
      <c r="AQ48" s="126"/>
      <c r="AR48" s="126"/>
      <c r="AS48" s="126"/>
      <c r="AT48" s="127"/>
      <c r="AU48" s="123">
        <f t="shared" si="86"/>
        <v>0</v>
      </c>
      <c r="AW48" s="2"/>
      <c r="AX48" s="6" t="s">
        <v>7</v>
      </c>
      <c r="AY48" s="173"/>
      <c r="AZ48" s="126"/>
      <c r="BA48" s="126"/>
      <c r="BB48" s="126"/>
      <c r="BC48" s="126"/>
      <c r="BD48" s="126"/>
      <c r="BE48" s="126"/>
      <c r="BF48" s="127"/>
      <c r="BG48" s="123">
        <f t="shared" si="87"/>
        <v>0</v>
      </c>
      <c r="BI48" s="69" t="str">
        <f t="shared" ref="BI48:BI49" si="88">IF(OR(K48&lt;0,W48&lt;0,AI48&lt;0,AU48&lt;0,BG48&lt;0),"!! Total must be &gt;= sum by situation",IF(OR(C48&lt;SUM(O48,AA48,AM48,AY48),D48&lt;SUM(P48,AB48,AN48,AZ48),E48&lt;SUM(Q48,AC48,AO48,BA48),F48&lt;SUM(R48,AD48,AP48,BB48),G48&lt;SUM(S48,AE48,AQ48,BC48),H48&lt;SUM(T48,AF48,AR48,BD48),I48&lt;SUM(U48,AG48,AS48,BE48),J48&lt;SUM(V48,AH48,AT48,BF48)),"!! Values in FU1 must be &gt;= sum of values in FU2 - FU5",""))</f>
        <v/>
      </c>
      <c r="BK48" s="265"/>
    </row>
    <row r="49" spans="1:63" ht="16" thickBot="1" x14ac:dyDescent="0.25">
      <c r="A49" s="3"/>
      <c r="B49" s="6" t="s">
        <v>577</v>
      </c>
      <c r="C49" s="176"/>
      <c r="D49" s="128"/>
      <c r="E49" s="129"/>
      <c r="F49" s="129"/>
      <c r="G49" s="129"/>
      <c r="H49" s="129"/>
      <c r="I49" s="129"/>
      <c r="J49" s="129"/>
      <c r="K49" s="124">
        <f t="shared" si="83"/>
        <v>0</v>
      </c>
      <c r="M49" s="3"/>
      <c r="N49" s="6" t="s">
        <v>577</v>
      </c>
      <c r="O49" s="176"/>
      <c r="P49" s="128"/>
      <c r="Q49" s="129"/>
      <c r="R49" s="129"/>
      <c r="S49" s="129"/>
      <c r="T49" s="129"/>
      <c r="U49" s="129"/>
      <c r="V49" s="129"/>
      <c r="W49" s="124">
        <f t="shared" si="84"/>
        <v>0</v>
      </c>
      <c r="Y49" s="3"/>
      <c r="Z49" s="6" t="s">
        <v>577</v>
      </c>
      <c r="AA49" s="176"/>
      <c r="AB49" s="129"/>
      <c r="AC49" s="129"/>
      <c r="AD49" s="129"/>
      <c r="AE49" s="129"/>
      <c r="AF49" s="129"/>
      <c r="AG49" s="129"/>
      <c r="AH49" s="129"/>
      <c r="AI49" s="124">
        <f t="shared" si="85"/>
        <v>0</v>
      </c>
      <c r="AK49" s="3"/>
      <c r="AL49" s="6" t="s">
        <v>577</v>
      </c>
      <c r="AM49" s="176"/>
      <c r="AN49" s="128"/>
      <c r="AO49" s="129"/>
      <c r="AP49" s="129"/>
      <c r="AQ49" s="129"/>
      <c r="AR49" s="129"/>
      <c r="AS49" s="129"/>
      <c r="AT49" s="129"/>
      <c r="AU49" s="124">
        <f t="shared" si="86"/>
        <v>0</v>
      </c>
      <c r="AW49" s="3"/>
      <c r="AX49" s="6" t="s">
        <v>577</v>
      </c>
      <c r="AY49" s="176"/>
      <c r="AZ49" s="128"/>
      <c r="BA49" s="129"/>
      <c r="BB49" s="129"/>
      <c r="BC49" s="129"/>
      <c r="BD49" s="129"/>
      <c r="BE49" s="129"/>
      <c r="BF49" s="129"/>
      <c r="BG49" s="124">
        <f t="shared" si="87"/>
        <v>0</v>
      </c>
      <c r="BI49" s="69" t="str">
        <f t="shared" si="88"/>
        <v/>
      </c>
      <c r="BK49" s="265"/>
    </row>
    <row r="50" spans="1:63" ht="16" thickTop="1" x14ac:dyDescent="0.2">
      <c r="A50" s="232" t="s">
        <v>157</v>
      </c>
      <c r="B50" s="233"/>
      <c r="C50" s="234"/>
      <c r="D50" s="235"/>
      <c r="E50" s="236"/>
      <c r="F50" s="236"/>
      <c r="G50" s="236"/>
      <c r="H50" s="236"/>
      <c r="I50" s="236"/>
      <c r="J50" s="236"/>
      <c r="K50" s="237"/>
      <c r="M50" s="232" t="s">
        <v>157</v>
      </c>
      <c r="N50" s="233"/>
      <c r="O50" s="234"/>
      <c r="P50" s="235"/>
      <c r="Q50" s="236"/>
      <c r="R50" s="236"/>
      <c r="S50" s="236"/>
      <c r="T50" s="236"/>
      <c r="U50" s="236"/>
      <c r="V50" s="236"/>
      <c r="W50" s="237"/>
      <c r="Y50" s="233" t="s">
        <v>157</v>
      </c>
      <c r="Z50" s="234"/>
      <c r="AA50" s="235"/>
      <c r="AB50" s="236"/>
      <c r="AC50" s="236"/>
      <c r="AD50" s="236"/>
      <c r="AE50" s="236"/>
      <c r="AF50" s="236"/>
      <c r="AG50" s="236"/>
      <c r="AH50" s="237"/>
      <c r="AI50" s="237"/>
      <c r="AK50" s="232" t="s">
        <v>157</v>
      </c>
      <c r="AL50" s="233"/>
      <c r="AM50" s="234"/>
      <c r="AN50" s="235"/>
      <c r="AO50" s="236"/>
      <c r="AP50" s="236"/>
      <c r="AQ50" s="236"/>
      <c r="AR50" s="236"/>
      <c r="AS50" s="236"/>
      <c r="AT50" s="236"/>
      <c r="AU50" s="237"/>
      <c r="AW50" s="232" t="s">
        <v>157</v>
      </c>
      <c r="AX50" s="233"/>
      <c r="AY50" s="234"/>
      <c r="AZ50" s="235"/>
      <c r="BA50" s="236"/>
      <c r="BB50" s="236"/>
      <c r="BC50" s="236"/>
      <c r="BD50" s="236"/>
      <c r="BE50" s="236"/>
      <c r="BF50" s="236"/>
      <c r="BG50" s="237"/>
      <c r="BI50" s="69"/>
      <c r="BK50" s="265"/>
    </row>
    <row r="51" spans="1:63" ht="15" hidden="1" customHeight="1" x14ac:dyDescent="0.2">
      <c r="A51" s="238" t="str">
        <f>A50</f>
        <v>18 months after exit</v>
      </c>
      <c r="B51" s="239"/>
      <c r="C51" s="234" t="e">
        <f>#REF!</f>
        <v>#REF!</v>
      </c>
      <c r="D51" s="240" t="e">
        <f>#REF!</f>
        <v>#REF!</v>
      </c>
      <c r="E51" s="240" t="e">
        <f>#REF!</f>
        <v>#REF!</v>
      </c>
      <c r="F51" s="240" t="e">
        <f>#REF!</f>
        <v>#REF!</v>
      </c>
      <c r="G51" s="240" t="e">
        <f>#REF!</f>
        <v>#REF!</v>
      </c>
      <c r="H51" s="240" t="e">
        <f>#REF!</f>
        <v>#REF!</v>
      </c>
      <c r="I51" s="240" t="e">
        <f>#REF!</f>
        <v>#REF!</v>
      </c>
      <c r="J51" s="241"/>
      <c r="K51" s="242" t="e">
        <f>#REF!</f>
        <v>#REF!</v>
      </c>
      <c r="M51" s="238" t="str">
        <f>M50</f>
        <v>18 months after exit</v>
      </c>
      <c r="N51" s="239"/>
      <c r="O51" s="234" t="e">
        <f>#REF!</f>
        <v>#REF!</v>
      </c>
      <c r="P51" s="240" t="e">
        <f>#REF!</f>
        <v>#REF!</v>
      </c>
      <c r="Q51" s="240" t="e">
        <f>#REF!</f>
        <v>#REF!</v>
      </c>
      <c r="R51" s="240" t="e">
        <f>#REF!</f>
        <v>#REF!</v>
      </c>
      <c r="S51" s="240" t="e">
        <f>#REF!</f>
        <v>#REF!</v>
      </c>
      <c r="T51" s="240" t="e">
        <f>#REF!</f>
        <v>#REF!</v>
      </c>
      <c r="U51" s="240" t="e">
        <f>#REF!</f>
        <v>#REF!</v>
      </c>
      <c r="V51" s="241"/>
      <c r="W51" s="242" t="e">
        <f>#REF!</f>
        <v>#REF!</v>
      </c>
      <c r="Y51" s="239" t="str">
        <f>Y50</f>
        <v>18 months after exit</v>
      </c>
      <c r="Z51" s="234"/>
      <c r="AA51" s="240" t="e">
        <f>#REF!</f>
        <v>#REF!</v>
      </c>
      <c r="AB51" s="240" t="e">
        <f>#REF!</f>
        <v>#REF!</v>
      </c>
      <c r="AC51" s="240" t="e">
        <f>#REF!</f>
        <v>#REF!</v>
      </c>
      <c r="AD51" s="240" t="e">
        <f>#REF!</f>
        <v>#REF!</v>
      </c>
      <c r="AE51" s="240" t="e">
        <f>#REF!</f>
        <v>#REF!</v>
      </c>
      <c r="AF51" s="240" t="e">
        <f>#REF!</f>
        <v>#REF!</v>
      </c>
      <c r="AG51" s="240" t="e">
        <f>#REF!</f>
        <v>#REF!</v>
      </c>
      <c r="AH51" s="242"/>
      <c r="AI51" s="242" t="e">
        <f>#REF!</f>
        <v>#REF!</v>
      </c>
      <c r="AK51" s="238" t="str">
        <f>AK50</f>
        <v>18 months after exit</v>
      </c>
      <c r="AL51" s="239"/>
      <c r="AM51" s="234" t="e">
        <f>#REF!</f>
        <v>#REF!</v>
      </c>
      <c r="AN51" s="240" t="e">
        <f>#REF!</f>
        <v>#REF!</v>
      </c>
      <c r="AO51" s="240" t="e">
        <f>#REF!</f>
        <v>#REF!</v>
      </c>
      <c r="AP51" s="240" t="e">
        <f>#REF!</f>
        <v>#REF!</v>
      </c>
      <c r="AQ51" s="240" t="e">
        <f>#REF!</f>
        <v>#REF!</v>
      </c>
      <c r="AR51" s="240" t="e">
        <f>#REF!</f>
        <v>#REF!</v>
      </c>
      <c r="AS51" s="240" t="e">
        <f>#REF!</f>
        <v>#REF!</v>
      </c>
      <c r="AT51" s="241" t="e">
        <f>#REF!</f>
        <v>#REF!</v>
      </c>
      <c r="AU51" s="242" t="e">
        <f>#REF!</f>
        <v>#REF!</v>
      </c>
      <c r="AW51" s="238" t="str">
        <f>AW50</f>
        <v>18 months after exit</v>
      </c>
      <c r="AX51" s="239"/>
      <c r="AY51" s="234" t="e">
        <f>#REF!</f>
        <v>#REF!</v>
      </c>
      <c r="AZ51" s="240"/>
      <c r="BA51" s="240" t="e">
        <f>#REF!</f>
        <v>#REF!</v>
      </c>
      <c r="BB51" s="240"/>
      <c r="BC51" s="240" t="e">
        <f>#REF!</f>
        <v>#REF!</v>
      </c>
      <c r="BD51" s="240" t="e">
        <f>#REF!</f>
        <v>#REF!</v>
      </c>
      <c r="BE51" s="240"/>
      <c r="BF51" s="241"/>
      <c r="BG51" s="242" t="e">
        <f>#REF!</f>
        <v>#REF!</v>
      </c>
      <c r="BI51" s="69"/>
      <c r="BK51" s="265"/>
    </row>
    <row r="52" spans="1:63" x14ac:dyDescent="0.2">
      <c r="A52" s="238" t="s">
        <v>97</v>
      </c>
      <c r="B52" s="243"/>
      <c r="C52" s="244" t="str">
        <f t="shared" ref="C52:K52" si="89">C$18</f>
        <v>Total</v>
      </c>
      <c r="D52" s="245" t="str">
        <f>D$18</f>
        <v>Employment</v>
      </c>
      <c r="E52" s="245" t="str">
        <f t="shared" ref="E52:J52" si="90">E$18</f>
        <v>Education</v>
      </c>
      <c r="F52" s="245" t="str">
        <f t="shared" si="90"/>
        <v>Apprenticeship</v>
      </c>
      <c r="G52" s="245" t="str">
        <f t="shared" si="90"/>
        <v>Traineeship</v>
      </c>
      <c r="H52" s="245" t="str">
        <f t="shared" si="90"/>
        <v>Unemployment</v>
      </c>
      <c r="I52" s="245" t="str">
        <f t="shared" si="90"/>
        <v>Inactivity</v>
      </c>
      <c r="J52" s="245" t="str">
        <f t="shared" si="90"/>
        <v>Not applicable</v>
      </c>
      <c r="K52" s="246" t="str">
        <f t="shared" si="89"/>
        <v>Unknown</v>
      </c>
      <c r="M52" s="252" t="s">
        <v>97</v>
      </c>
      <c r="N52" s="243"/>
      <c r="O52" s="244" t="str">
        <f t="shared" ref="O52:W52" si="91">O$18</f>
        <v>Total</v>
      </c>
      <c r="P52" s="245" t="str">
        <f>P$18</f>
        <v>Employment</v>
      </c>
      <c r="Q52" s="245" t="str">
        <f t="shared" si="91"/>
        <v>Education</v>
      </c>
      <c r="R52" s="245" t="str">
        <f t="shared" si="91"/>
        <v>Apprenticeship</v>
      </c>
      <c r="S52" s="245" t="str">
        <f t="shared" si="91"/>
        <v>Traineeship</v>
      </c>
      <c r="T52" s="245" t="str">
        <f t="shared" si="91"/>
        <v>Unemployment</v>
      </c>
      <c r="U52" s="258" t="str">
        <f t="shared" si="91"/>
        <v>Inactivity</v>
      </c>
      <c r="V52" s="245" t="str">
        <f t="shared" si="91"/>
        <v>Not applicable</v>
      </c>
      <c r="W52" s="246" t="str">
        <f t="shared" si="91"/>
        <v>Unknown</v>
      </c>
      <c r="Y52" s="243" t="s">
        <v>97</v>
      </c>
      <c r="Z52" s="244"/>
      <c r="AA52" s="245" t="str">
        <f t="shared" ref="AA52:AI52" si="92">AA$18</f>
        <v>Total</v>
      </c>
      <c r="AB52" s="245" t="str">
        <f t="shared" si="92"/>
        <v>Apprenticeship</v>
      </c>
      <c r="AC52" s="245" t="str">
        <f t="shared" si="92"/>
        <v>Education</v>
      </c>
      <c r="AD52" s="245" t="str">
        <f t="shared" si="92"/>
        <v>Apprenticeship</v>
      </c>
      <c r="AE52" s="245" t="str">
        <f t="shared" si="92"/>
        <v>Traineeship</v>
      </c>
      <c r="AF52" s="245" t="str">
        <f t="shared" si="92"/>
        <v>Unemployment</v>
      </c>
      <c r="AG52" s="258" t="str">
        <f t="shared" si="92"/>
        <v>Inactivity</v>
      </c>
      <c r="AH52" s="246" t="str">
        <f t="shared" si="92"/>
        <v>Not applicable</v>
      </c>
      <c r="AI52" s="246" t="str">
        <f t="shared" si="92"/>
        <v>Unknown</v>
      </c>
      <c r="AK52" s="252" t="s">
        <v>97</v>
      </c>
      <c r="AL52" s="243"/>
      <c r="AM52" s="244" t="str">
        <f t="shared" ref="AM52:AT52" si="93">AM$18</f>
        <v>Total</v>
      </c>
      <c r="AN52" s="245" t="str">
        <f t="shared" si="93"/>
        <v>Education</v>
      </c>
      <c r="AO52" s="245" t="str">
        <f t="shared" si="93"/>
        <v>Apprenticeship</v>
      </c>
      <c r="AP52" s="245" t="str">
        <f t="shared" si="93"/>
        <v>Education</v>
      </c>
      <c r="AQ52" s="245" t="str">
        <f t="shared" si="93"/>
        <v>Apprenticeship</v>
      </c>
      <c r="AR52" s="245" t="str">
        <f t="shared" si="93"/>
        <v>Traineeship</v>
      </c>
      <c r="AS52" s="258" t="str">
        <f t="shared" si="93"/>
        <v>Unemployment</v>
      </c>
      <c r="AT52" s="258" t="str">
        <f t="shared" si="93"/>
        <v>Inactivity</v>
      </c>
      <c r="AU52" s="246" t="str">
        <f t="shared" ref="AU52" si="94">AU$18</f>
        <v>Unknown</v>
      </c>
      <c r="AW52" s="252" t="s">
        <v>97</v>
      </c>
      <c r="AX52" s="243"/>
      <c r="AY52" s="244" t="str">
        <f t="shared" ref="AY52" si="95">AY$18</f>
        <v>Total</v>
      </c>
      <c r="AZ52" s="245"/>
      <c r="BA52" s="245" t="str">
        <f t="shared" ref="BA52" si="96">BA$18</f>
        <v>Apprenticeship</v>
      </c>
      <c r="BB52" s="245"/>
      <c r="BC52" s="245" t="str">
        <f t="shared" ref="BC52:BD52" si="97">BC$18</f>
        <v>Apprenticeship</v>
      </c>
      <c r="BD52" s="245" t="str">
        <f t="shared" si="97"/>
        <v>Traineeship</v>
      </c>
      <c r="BE52" s="258"/>
      <c r="BF52" s="258"/>
      <c r="BG52" s="246" t="str">
        <f t="shared" ref="BG52" si="98">BG$18</f>
        <v>Unknown</v>
      </c>
      <c r="BI52" s="69" t="str" cm="1">
        <f t="array" ref="BI52">IF(OR(SUM(IF(O53:W56&lt;(O58:W61+O63:W66),1,0)),SUM(IF(C53:K56&lt;(C58:K61+C63:K66),1,0)),SUM(IF(AA53:AI56&lt;(AA58:AI61+AA63:AI66),1,0)), SUM(IF(AM53:AU56&lt;(AM58:AU61+AM63:AU66),1,0)), SUM(IF(AY53:BG56&lt;(AY58:BG61+AY63:BG66),1,0))),"!! Check sum by sex for one or more columns/rows","")</f>
        <v/>
      </c>
      <c r="BK52" s="265"/>
    </row>
    <row r="53" spans="1:63" x14ac:dyDescent="0.2">
      <c r="A53" s="247"/>
      <c r="B53" s="248" t="s">
        <v>578</v>
      </c>
      <c r="C53" s="249">
        <f>Exits!C13</f>
        <v>0</v>
      </c>
      <c r="D53" s="250">
        <v>0</v>
      </c>
      <c r="E53" s="250">
        <v>0</v>
      </c>
      <c r="F53" s="250">
        <v>0</v>
      </c>
      <c r="G53" s="250">
        <v>0</v>
      </c>
      <c r="H53" s="250">
        <v>0</v>
      </c>
      <c r="I53" s="250">
        <v>0</v>
      </c>
      <c r="J53" s="250"/>
      <c r="K53" s="251">
        <f t="shared" ref="K53:K56" si="99">C53-SUM(D53:G53,H53:I53,J53)</f>
        <v>0</v>
      </c>
      <c r="M53" s="247"/>
      <c r="N53" s="248" t="s">
        <v>578</v>
      </c>
      <c r="O53" s="249">
        <f>Exits!D13</f>
        <v>0</v>
      </c>
      <c r="P53" s="250">
        <v>0</v>
      </c>
      <c r="Q53" s="250">
        <v>0</v>
      </c>
      <c r="R53" s="250">
        <v>0</v>
      </c>
      <c r="S53" s="250">
        <v>0</v>
      </c>
      <c r="T53" s="250">
        <v>0</v>
      </c>
      <c r="U53" s="250">
        <v>0</v>
      </c>
      <c r="V53" s="250"/>
      <c r="W53" s="251">
        <f t="shared" ref="W53:W56" si="100">O53-SUM(P53:S53,T53:U53,V53)</f>
        <v>0</v>
      </c>
      <c r="Y53" s="248"/>
      <c r="Z53" s="249" t="s">
        <v>578</v>
      </c>
      <c r="AA53" s="250">
        <f>Exits!E13</f>
        <v>0</v>
      </c>
      <c r="AB53" s="250">
        <v>0</v>
      </c>
      <c r="AC53" s="250">
        <v>0</v>
      </c>
      <c r="AD53" s="250">
        <v>0</v>
      </c>
      <c r="AE53" s="250">
        <v>0</v>
      </c>
      <c r="AF53" s="250">
        <v>0</v>
      </c>
      <c r="AG53" s="250">
        <v>0</v>
      </c>
      <c r="AH53" s="251"/>
      <c r="AI53" s="251">
        <f t="shared" ref="AI53:AI56" si="101">AA53-SUM(AB53:AE53,AF53:AG53,AH53)</f>
        <v>0</v>
      </c>
      <c r="AK53" s="247"/>
      <c r="AL53" s="248" t="s">
        <v>578</v>
      </c>
      <c r="AM53" s="249">
        <f>Exits!F13</f>
        <v>0</v>
      </c>
      <c r="AN53" s="250">
        <v>0</v>
      </c>
      <c r="AO53" s="250">
        <v>0</v>
      </c>
      <c r="AP53" s="250">
        <v>0</v>
      </c>
      <c r="AQ53" s="250">
        <v>0</v>
      </c>
      <c r="AR53" s="250">
        <v>0</v>
      </c>
      <c r="AS53" s="250">
        <v>0</v>
      </c>
      <c r="AT53" s="250">
        <v>0</v>
      </c>
      <c r="AU53" s="251">
        <f t="shared" ref="AU53:AU56" si="102">AM53-SUM(AN53:AQ53,AR53:AS53,AT53)</f>
        <v>0</v>
      </c>
      <c r="AW53" s="247"/>
      <c r="AX53" s="248" t="s">
        <v>578</v>
      </c>
      <c r="AY53" s="249">
        <f>Exits!G13</f>
        <v>0</v>
      </c>
      <c r="AZ53" s="250"/>
      <c r="BA53" s="250">
        <v>0</v>
      </c>
      <c r="BB53" s="250"/>
      <c r="BC53" s="250">
        <v>0</v>
      </c>
      <c r="BD53" s="250">
        <v>0</v>
      </c>
      <c r="BE53" s="250"/>
      <c r="BF53" s="250"/>
      <c r="BG53" s="251">
        <f t="shared" ref="BG53:BG56" si="103">AY53-SUM(AZ53:BC53,BD53:BE53,BF53)</f>
        <v>0</v>
      </c>
      <c r="BI53" s="69" t="str">
        <f>IF(OR(K53&lt;0,W53&lt;0,AI53&lt;0,AU53&lt;0,BG53&lt;0),"!! Total must be &gt;= sum by situation",IF(OR(C53&lt;SUM(O53,AA53,AM53,AY53),D53&lt;SUM(P53,AB53,AN53,AZ53),E53&lt;SUM(Q53,AC53,AO53,BA53),F53&lt;SUM(R53,AD53,AP53,BB53),G53&lt;SUM(S53,AE53,AQ53,BC53),H53&lt;SUM(T53,AF53,AR53,BD53),I53&lt;SUM(U53,AG53,AS53,BE53),J53&lt;SUM(V53,AH53,AT53,BF53)),"!! Values in FU1 must be &gt;= sum of values in FU2 - FU5",""))</f>
        <v/>
      </c>
      <c r="BK53" s="265"/>
    </row>
    <row r="54" spans="1:63" x14ac:dyDescent="0.2">
      <c r="A54" s="247"/>
      <c r="B54" s="248" t="s">
        <v>6</v>
      </c>
      <c r="C54" s="249">
        <f>Exits!C14</f>
        <v>0</v>
      </c>
      <c r="D54" s="250">
        <v>0</v>
      </c>
      <c r="E54" s="250">
        <v>0</v>
      </c>
      <c r="F54" s="250">
        <v>0</v>
      </c>
      <c r="G54" s="250">
        <v>0</v>
      </c>
      <c r="H54" s="250">
        <v>0</v>
      </c>
      <c r="I54" s="250">
        <v>0</v>
      </c>
      <c r="J54" s="250"/>
      <c r="K54" s="251">
        <f t="shared" si="99"/>
        <v>0</v>
      </c>
      <c r="M54" s="247"/>
      <c r="N54" s="248" t="s">
        <v>6</v>
      </c>
      <c r="O54" s="249">
        <f>Exits!D14</f>
        <v>0</v>
      </c>
      <c r="P54" s="250">
        <v>0</v>
      </c>
      <c r="Q54" s="250">
        <v>0</v>
      </c>
      <c r="R54" s="250">
        <v>0</v>
      </c>
      <c r="S54" s="250">
        <v>0</v>
      </c>
      <c r="T54" s="250">
        <v>0</v>
      </c>
      <c r="U54" s="250">
        <v>0</v>
      </c>
      <c r="V54" s="250"/>
      <c r="W54" s="251">
        <f t="shared" si="100"/>
        <v>0</v>
      </c>
      <c r="Y54" s="248"/>
      <c r="Z54" s="249" t="s">
        <v>6</v>
      </c>
      <c r="AA54" s="250">
        <f>Exits!E14</f>
        <v>0</v>
      </c>
      <c r="AB54" s="250">
        <v>0</v>
      </c>
      <c r="AC54" s="250">
        <v>0</v>
      </c>
      <c r="AD54" s="250">
        <v>0</v>
      </c>
      <c r="AE54" s="250">
        <v>0</v>
      </c>
      <c r="AF54" s="250">
        <v>0</v>
      </c>
      <c r="AG54" s="250">
        <v>0</v>
      </c>
      <c r="AH54" s="251"/>
      <c r="AI54" s="251">
        <f t="shared" si="101"/>
        <v>0</v>
      </c>
      <c r="AK54" s="247"/>
      <c r="AL54" s="248" t="s">
        <v>6</v>
      </c>
      <c r="AM54" s="249">
        <f>Exits!F14</f>
        <v>0</v>
      </c>
      <c r="AN54" s="250">
        <v>0</v>
      </c>
      <c r="AO54" s="250">
        <v>0</v>
      </c>
      <c r="AP54" s="250">
        <v>0</v>
      </c>
      <c r="AQ54" s="250">
        <v>0</v>
      </c>
      <c r="AR54" s="250">
        <v>0</v>
      </c>
      <c r="AS54" s="250">
        <v>0</v>
      </c>
      <c r="AT54" s="250">
        <v>0</v>
      </c>
      <c r="AU54" s="251">
        <f t="shared" si="102"/>
        <v>0</v>
      </c>
      <c r="AW54" s="247"/>
      <c r="AX54" s="248" t="s">
        <v>6</v>
      </c>
      <c r="AY54" s="249">
        <f>Exits!G14</f>
        <v>0</v>
      </c>
      <c r="AZ54" s="250"/>
      <c r="BA54" s="250">
        <v>0</v>
      </c>
      <c r="BB54" s="250"/>
      <c r="BC54" s="250">
        <v>0</v>
      </c>
      <c r="BD54" s="250">
        <v>0</v>
      </c>
      <c r="BE54" s="250"/>
      <c r="BF54" s="250"/>
      <c r="BG54" s="251">
        <f t="shared" si="103"/>
        <v>0</v>
      </c>
      <c r="BI54" s="69" t="str">
        <f>IF(OR(K54&lt;0,W54&lt;0,AI54&lt;0,AU54&lt;0,BG54&lt;0),"!! Total must be &gt;= sum by situation",IF(OR(C54&lt;SUM(O54,AA54,AM54,AY54),D54&lt;SUM(P54,AB54,AN54,AZ54),E54&lt;SUM(Q54,AC54,AO54,BA54),F54&lt;SUM(R54,AD54,AP54,BB54),G54&lt;SUM(S54,AE54,AQ54,BC54),H54&lt;SUM(T54,AF54,AR54,BD54),I54&lt;SUM(U54,AG54,AS54,BE54),J54&lt;SUM(V54,AH54,AT54,BF54)),"!! Values in FU1 must be &gt;= sum of values in FU2 - FU5",""))</f>
        <v/>
      </c>
      <c r="BK54" s="265"/>
    </row>
    <row r="55" spans="1:63" x14ac:dyDescent="0.2">
      <c r="A55" s="247"/>
      <c r="B55" s="248" t="s">
        <v>7</v>
      </c>
      <c r="C55" s="249">
        <f>Exits!C15</f>
        <v>0</v>
      </c>
      <c r="D55" s="250">
        <v>0</v>
      </c>
      <c r="E55" s="250">
        <v>0</v>
      </c>
      <c r="F55" s="250">
        <v>0</v>
      </c>
      <c r="G55" s="250">
        <v>0</v>
      </c>
      <c r="H55" s="250">
        <v>0</v>
      </c>
      <c r="I55" s="250">
        <v>0</v>
      </c>
      <c r="J55" s="250"/>
      <c r="K55" s="251">
        <f>C55-SUM(D55:G55,H55:I55,J55)</f>
        <v>0</v>
      </c>
      <c r="M55" s="247"/>
      <c r="N55" s="248" t="s">
        <v>7</v>
      </c>
      <c r="O55" s="249">
        <f>Exits!D15</f>
        <v>0</v>
      </c>
      <c r="P55" s="250">
        <v>0</v>
      </c>
      <c r="Q55" s="250">
        <v>0</v>
      </c>
      <c r="R55" s="250">
        <v>0</v>
      </c>
      <c r="S55" s="250">
        <v>0</v>
      </c>
      <c r="T55" s="250">
        <v>0</v>
      </c>
      <c r="U55" s="250">
        <v>0</v>
      </c>
      <c r="V55" s="250"/>
      <c r="W55" s="251">
        <f t="shared" si="100"/>
        <v>0</v>
      </c>
      <c r="Y55" s="248"/>
      <c r="Z55" s="249" t="s">
        <v>7</v>
      </c>
      <c r="AA55" s="250">
        <f>Exits!E15</f>
        <v>0</v>
      </c>
      <c r="AB55" s="250">
        <v>0</v>
      </c>
      <c r="AC55" s="250">
        <v>0</v>
      </c>
      <c r="AD55" s="250">
        <v>0</v>
      </c>
      <c r="AE55" s="250">
        <v>0</v>
      </c>
      <c r="AF55" s="250">
        <v>0</v>
      </c>
      <c r="AG55" s="250">
        <v>0</v>
      </c>
      <c r="AH55" s="251"/>
      <c r="AI55" s="251">
        <f t="shared" ref="AI55" si="104">AA55-SUM(AB55:AE55,AF55:AG55,AH55)</f>
        <v>0</v>
      </c>
      <c r="AK55" s="247"/>
      <c r="AL55" s="248" t="s">
        <v>7</v>
      </c>
      <c r="AM55" s="249">
        <f>Exits!F15</f>
        <v>0</v>
      </c>
      <c r="AN55" s="250">
        <v>0</v>
      </c>
      <c r="AO55" s="250">
        <v>0</v>
      </c>
      <c r="AP55" s="250">
        <v>0</v>
      </c>
      <c r="AQ55" s="250">
        <v>0</v>
      </c>
      <c r="AR55" s="250">
        <v>0</v>
      </c>
      <c r="AS55" s="250">
        <v>0</v>
      </c>
      <c r="AT55" s="250">
        <v>0</v>
      </c>
      <c r="AU55" s="251">
        <f t="shared" si="102"/>
        <v>0</v>
      </c>
      <c r="AW55" s="247"/>
      <c r="AX55" s="248" t="s">
        <v>7</v>
      </c>
      <c r="AY55" s="249">
        <f>Exits!G15</f>
        <v>0</v>
      </c>
      <c r="AZ55" s="250"/>
      <c r="BA55" s="250">
        <v>0</v>
      </c>
      <c r="BB55" s="250"/>
      <c r="BC55" s="250">
        <v>0</v>
      </c>
      <c r="BD55" s="250">
        <v>0</v>
      </c>
      <c r="BE55" s="250"/>
      <c r="BF55" s="250"/>
      <c r="BG55" s="251">
        <f t="shared" si="103"/>
        <v>0</v>
      </c>
      <c r="BI55" s="69" t="str">
        <f t="shared" ref="BI55:BI56" si="105">IF(OR(K55&lt;0,W55&lt;0,AI55&lt;0,AU55&lt;0,BG55&lt;0),"!! Total must be &gt;= sum by situation",IF(OR(C55&lt;SUM(O55,AA55,AM55,AY55),D55&lt;SUM(P55,AB55,AN55,AZ55),E55&lt;SUM(Q55,AC55,AO55,BA55),F55&lt;SUM(R55,AD55,AP55,BB55),G55&lt;SUM(S55,AE55,AQ55,BC55),H55&lt;SUM(T55,AF55,AR55,BD55),I55&lt;SUM(U55,AG55,AS55,BE55),J55&lt;SUM(V55,AH55,AT55,BF55)),"!! Values in FU1 must be &gt;= sum of values in FU2 - FU5",""))</f>
        <v/>
      </c>
      <c r="BK55" s="265"/>
    </row>
    <row r="56" spans="1:63" x14ac:dyDescent="0.2">
      <c r="A56" s="247"/>
      <c r="B56" s="248" t="s">
        <v>577</v>
      </c>
      <c r="C56" s="249">
        <f>Exits!C16</f>
        <v>0</v>
      </c>
      <c r="D56" s="250">
        <v>0</v>
      </c>
      <c r="E56" s="250">
        <v>0</v>
      </c>
      <c r="F56" s="250">
        <v>0</v>
      </c>
      <c r="G56" s="250">
        <v>0</v>
      </c>
      <c r="H56" s="250">
        <v>0</v>
      </c>
      <c r="I56" s="250">
        <v>0</v>
      </c>
      <c r="J56" s="250"/>
      <c r="K56" s="251">
        <f t="shared" si="99"/>
        <v>0</v>
      </c>
      <c r="M56" s="247"/>
      <c r="N56" s="248" t="s">
        <v>577</v>
      </c>
      <c r="O56" s="249">
        <f>Exits!D16</f>
        <v>0</v>
      </c>
      <c r="P56" s="250">
        <v>0</v>
      </c>
      <c r="Q56" s="250">
        <v>0</v>
      </c>
      <c r="R56" s="250">
        <v>0</v>
      </c>
      <c r="S56" s="250">
        <v>0</v>
      </c>
      <c r="T56" s="250">
        <v>0</v>
      </c>
      <c r="U56" s="250">
        <v>0</v>
      </c>
      <c r="V56" s="250"/>
      <c r="W56" s="251">
        <f t="shared" si="100"/>
        <v>0</v>
      </c>
      <c r="Y56" s="248"/>
      <c r="Z56" s="249" t="s">
        <v>577</v>
      </c>
      <c r="AA56" s="250">
        <f>Exits!E16</f>
        <v>0</v>
      </c>
      <c r="AB56" s="250">
        <v>0</v>
      </c>
      <c r="AC56" s="250">
        <v>0</v>
      </c>
      <c r="AD56" s="250">
        <v>0</v>
      </c>
      <c r="AE56" s="250">
        <v>0</v>
      </c>
      <c r="AF56" s="250">
        <v>0</v>
      </c>
      <c r="AG56" s="250">
        <v>0</v>
      </c>
      <c r="AH56" s="251"/>
      <c r="AI56" s="251">
        <f t="shared" si="101"/>
        <v>0</v>
      </c>
      <c r="AK56" s="247"/>
      <c r="AL56" s="248" t="s">
        <v>577</v>
      </c>
      <c r="AM56" s="249">
        <f>Exits!F16</f>
        <v>0</v>
      </c>
      <c r="AN56" s="250">
        <v>0</v>
      </c>
      <c r="AO56" s="250">
        <v>0</v>
      </c>
      <c r="AP56" s="250">
        <v>0</v>
      </c>
      <c r="AQ56" s="250">
        <v>0</v>
      </c>
      <c r="AR56" s="250">
        <v>0</v>
      </c>
      <c r="AS56" s="250">
        <v>0</v>
      </c>
      <c r="AT56" s="250">
        <v>0</v>
      </c>
      <c r="AU56" s="251">
        <f t="shared" si="102"/>
        <v>0</v>
      </c>
      <c r="AW56" s="247"/>
      <c r="AX56" s="248" t="s">
        <v>577</v>
      </c>
      <c r="AY56" s="249">
        <f>Exits!G16</f>
        <v>0</v>
      </c>
      <c r="AZ56" s="250"/>
      <c r="BA56" s="250">
        <v>0</v>
      </c>
      <c r="BB56" s="250"/>
      <c r="BC56" s="250">
        <v>0</v>
      </c>
      <c r="BD56" s="250">
        <v>0</v>
      </c>
      <c r="BE56" s="250"/>
      <c r="BF56" s="250"/>
      <c r="BG56" s="251">
        <f t="shared" si="103"/>
        <v>0</v>
      </c>
      <c r="BI56" s="69" t="str">
        <f t="shared" si="105"/>
        <v/>
      </c>
      <c r="BK56" s="265"/>
    </row>
    <row r="57" spans="1:63" x14ac:dyDescent="0.2">
      <c r="A57" s="252" t="s">
        <v>4</v>
      </c>
      <c r="B57" s="243"/>
      <c r="C57" s="244" t="str">
        <f t="shared" ref="C57:K57" si="106">C$18</f>
        <v>Total</v>
      </c>
      <c r="D57" s="245" t="str">
        <f>D$18</f>
        <v>Employment</v>
      </c>
      <c r="E57" s="245" t="str">
        <f t="shared" ref="E57:I57" si="107">E$18</f>
        <v>Education</v>
      </c>
      <c r="F57" s="245" t="str">
        <f t="shared" si="107"/>
        <v>Apprenticeship</v>
      </c>
      <c r="G57" s="245" t="str">
        <f t="shared" si="107"/>
        <v>Traineeship</v>
      </c>
      <c r="H57" s="245" t="str">
        <f t="shared" si="107"/>
        <v>Unemployment</v>
      </c>
      <c r="I57" s="245" t="str">
        <f t="shared" si="107"/>
        <v>Inactivity</v>
      </c>
      <c r="J57" s="245"/>
      <c r="K57" s="246" t="str">
        <f t="shared" si="106"/>
        <v>Unknown</v>
      </c>
      <c r="M57" s="252" t="s">
        <v>4</v>
      </c>
      <c r="N57" s="243"/>
      <c r="O57" s="244" t="str">
        <f t="shared" ref="O57:W57" si="108">O$18</f>
        <v>Total</v>
      </c>
      <c r="P57" s="245" t="str">
        <f>P$18</f>
        <v>Employment</v>
      </c>
      <c r="Q57" s="245" t="str">
        <f t="shared" si="108"/>
        <v>Education</v>
      </c>
      <c r="R57" s="245" t="str">
        <f t="shared" si="108"/>
        <v>Apprenticeship</v>
      </c>
      <c r="S57" s="245" t="str">
        <f t="shared" si="108"/>
        <v>Traineeship</v>
      </c>
      <c r="T57" s="245" t="str">
        <f t="shared" si="108"/>
        <v>Unemployment</v>
      </c>
      <c r="U57" s="258" t="str">
        <f t="shared" si="108"/>
        <v>Inactivity</v>
      </c>
      <c r="V57" s="245"/>
      <c r="W57" s="246" t="str">
        <f t="shared" si="108"/>
        <v>Unknown</v>
      </c>
      <c r="Y57" s="243" t="s">
        <v>4</v>
      </c>
      <c r="Z57" s="244"/>
      <c r="AA57" s="245" t="str">
        <f t="shared" ref="AA57:AI57" si="109">AA$18</f>
        <v>Total</v>
      </c>
      <c r="AB57" s="245" t="str">
        <f t="shared" si="109"/>
        <v>Apprenticeship</v>
      </c>
      <c r="AC57" s="245" t="str">
        <f t="shared" si="109"/>
        <v>Education</v>
      </c>
      <c r="AD57" s="245" t="str">
        <f t="shared" si="109"/>
        <v>Apprenticeship</v>
      </c>
      <c r="AE57" s="245" t="str">
        <f t="shared" si="109"/>
        <v>Traineeship</v>
      </c>
      <c r="AF57" s="245" t="str">
        <f t="shared" si="109"/>
        <v>Unemployment</v>
      </c>
      <c r="AG57" s="258" t="str">
        <f t="shared" si="109"/>
        <v>Inactivity</v>
      </c>
      <c r="AH57" s="246" t="str">
        <f t="shared" si="109"/>
        <v>Not applicable</v>
      </c>
      <c r="AI57" s="246" t="str">
        <f t="shared" si="109"/>
        <v>Unknown</v>
      </c>
      <c r="AK57" s="252" t="s">
        <v>4</v>
      </c>
      <c r="AL57" s="243"/>
      <c r="AM57" s="244" t="str">
        <f t="shared" ref="AM57:AU57" si="110">AM$18</f>
        <v>Total</v>
      </c>
      <c r="AN57" s="245" t="str">
        <f t="shared" si="110"/>
        <v>Education</v>
      </c>
      <c r="AO57" s="245" t="str">
        <f t="shared" si="110"/>
        <v>Apprenticeship</v>
      </c>
      <c r="AP57" s="245" t="str">
        <f t="shared" si="110"/>
        <v>Education</v>
      </c>
      <c r="AQ57" s="245" t="str">
        <f t="shared" si="110"/>
        <v>Apprenticeship</v>
      </c>
      <c r="AR57" s="245" t="str">
        <f t="shared" si="110"/>
        <v>Traineeship</v>
      </c>
      <c r="AS57" s="258" t="str">
        <f t="shared" si="110"/>
        <v>Unemployment</v>
      </c>
      <c r="AT57" s="258" t="str">
        <f t="shared" si="110"/>
        <v>Inactivity</v>
      </c>
      <c r="AU57" s="246" t="str">
        <f t="shared" si="110"/>
        <v>Unknown</v>
      </c>
      <c r="AW57" s="252" t="s">
        <v>4</v>
      </c>
      <c r="AX57" s="243"/>
      <c r="AY57" s="244" t="str">
        <f t="shared" ref="AY57" si="111">AY$18</f>
        <v>Total</v>
      </c>
      <c r="AZ57" s="245"/>
      <c r="BA57" s="245" t="str">
        <f t="shared" ref="BA57" si="112">BA$18</f>
        <v>Apprenticeship</v>
      </c>
      <c r="BB57" s="245"/>
      <c r="BC57" s="245" t="str">
        <f t="shared" ref="BC57:BD57" si="113">BC$18</f>
        <v>Apprenticeship</v>
      </c>
      <c r="BD57" s="245" t="str">
        <f t="shared" si="113"/>
        <v>Traineeship</v>
      </c>
      <c r="BE57" s="258"/>
      <c r="BF57" s="258"/>
      <c r="BG57" s="246" t="str">
        <f t="shared" ref="BG57" si="114">BG$18</f>
        <v>Unknown</v>
      </c>
      <c r="BI57" s="69"/>
      <c r="BK57" s="265"/>
    </row>
    <row r="58" spans="1:63" x14ac:dyDescent="0.2">
      <c r="A58" s="247"/>
      <c r="B58" s="248" t="s">
        <v>578</v>
      </c>
      <c r="C58" s="249">
        <f>Exits!C18</f>
        <v>0</v>
      </c>
      <c r="D58" s="250">
        <v>0</v>
      </c>
      <c r="E58" s="250">
        <v>0</v>
      </c>
      <c r="F58" s="250">
        <v>0</v>
      </c>
      <c r="G58" s="250">
        <v>0</v>
      </c>
      <c r="H58" s="250">
        <v>0</v>
      </c>
      <c r="I58" s="250">
        <v>0</v>
      </c>
      <c r="J58" s="250"/>
      <c r="K58" s="251">
        <f t="shared" ref="K58:K61" si="115">C58-SUM(D58:G58,H58:I58,J58)</f>
        <v>0</v>
      </c>
      <c r="M58" s="247"/>
      <c r="N58" s="248" t="s">
        <v>578</v>
      </c>
      <c r="O58" s="249">
        <f>Exits!D18</f>
        <v>0</v>
      </c>
      <c r="P58" s="250">
        <v>0</v>
      </c>
      <c r="Q58" s="250">
        <v>0</v>
      </c>
      <c r="R58" s="250">
        <v>0</v>
      </c>
      <c r="S58" s="250">
        <v>0</v>
      </c>
      <c r="T58" s="250">
        <v>0</v>
      </c>
      <c r="U58" s="250">
        <v>0</v>
      </c>
      <c r="V58" s="250"/>
      <c r="W58" s="251">
        <f t="shared" ref="W58:W61" si="116">O58-SUM(P58:S58,T58:U58,V58)</f>
        <v>0</v>
      </c>
      <c r="Y58" s="248"/>
      <c r="Z58" s="249" t="s">
        <v>578</v>
      </c>
      <c r="AA58" s="250">
        <f>Exits!E18</f>
        <v>0</v>
      </c>
      <c r="AB58" s="250">
        <v>0</v>
      </c>
      <c r="AC58" s="250">
        <v>0</v>
      </c>
      <c r="AD58" s="250">
        <v>0</v>
      </c>
      <c r="AE58" s="250">
        <v>0</v>
      </c>
      <c r="AF58" s="250">
        <v>0</v>
      </c>
      <c r="AG58" s="250">
        <v>0</v>
      </c>
      <c r="AH58" s="251"/>
      <c r="AI58" s="251">
        <f t="shared" ref="AI58:AI61" si="117">AA58-SUM(AB58:AE58,AF58:AG58,AH58)</f>
        <v>0</v>
      </c>
      <c r="AK58" s="247"/>
      <c r="AL58" s="248" t="s">
        <v>578</v>
      </c>
      <c r="AM58" s="249">
        <f>Exits!F18</f>
        <v>0</v>
      </c>
      <c r="AN58" s="250">
        <v>0</v>
      </c>
      <c r="AO58" s="250">
        <v>0</v>
      </c>
      <c r="AP58" s="250">
        <v>0</v>
      </c>
      <c r="AQ58" s="250">
        <v>0</v>
      </c>
      <c r="AR58" s="250">
        <v>0</v>
      </c>
      <c r="AS58" s="250">
        <v>0</v>
      </c>
      <c r="AT58" s="250">
        <v>0</v>
      </c>
      <c r="AU58" s="251">
        <f t="shared" ref="AU58:AU61" si="118">AM58-SUM(AN58:AQ58,AR58:AS58,AT58)</f>
        <v>0</v>
      </c>
      <c r="AW58" s="247"/>
      <c r="AX58" s="248" t="s">
        <v>578</v>
      </c>
      <c r="AY58" s="249">
        <f>Exits!G18</f>
        <v>0</v>
      </c>
      <c r="AZ58" s="250">
        <v>0</v>
      </c>
      <c r="BA58" s="250">
        <v>0</v>
      </c>
      <c r="BB58" s="250">
        <v>0</v>
      </c>
      <c r="BC58" s="250">
        <v>0</v>
      </c>
      <c r="BD58" s="250">
        <v>0</v>
      </c>
      <c r="BE58" s="250">
        <v>0</v>
      </c>
      <c r="BF58" s="250"/>
      <c r="BG58" s="251">
        <f t="shared" ref="BG58:BG61" si="119">AY58-SUM(AZ58:BC58,BD58:BE58,BF58)</f>
        <v>0</v>
      </c>
      <c r="BI58" s="69" t="str">
        <f>IF(OR(K58&lt;0,W58&lt;0,AI58&lt;0,AU58&lt;0,BG58&lt;0),"!! Total must be &gt;= sum by situation",IF(OR(C58&lt;SUM(O58,AA58,AM58,AY58),D58&lt;SUM(P58,AB58,AN58,AZ58),E58&lt;SUM(Q58,AC58,AO58,BA58),F58&lt;SUM(R58,AD58,AP58,BB58),G58&lt;SUM(S58,AE58,AQ58,BC58),H58&lt;SUM(T58,AF58,AR58,BD58),I58&lt;SUM(U58,AG58,AS58,BE58),J58&lt;SUM(V58,AH58,AT58,BF58)),"!! Values in FU1 must be &gt;= sum of values in FU2 - FU5",""))</f>
        <v/>
      </c>
      <c r="BK58" s="265"/>
    </row>
    <row r="59" spans="1:63" x14ac:dyDescent="0.2">
      <c r="A59" s="247"/>
      <c r="B59" s="248" t="s">
        <v>6</v>
      </c>
      <c r="C59" s="249">
        <f>Exits!C19</f>
        <v>0</v>
      </c>
      <c r="D59" s="250">
        <v>0</v>
      </c>
      <c r="E59" s="250">
        <v>0</v>
      </c>
      <c r="F59" s="250">
        <v>0</v>
      </c>
      <c r="G59" s="250">
        <v>0</v>
      </c>
      <c r="H59" s="250">
        <v>0</v>
      </c>
      <c r="I59" s="250">
        <v>0</v>
      </c>
      <c r="J59" s="250"/>
      <c r="K59" s="251">
        <f t="shared" si="115"/>
        <v>0</v>
      </c>
      <c r="M59" s="247"/>
      <c r="N59" s="248" t="s">
        <v>6</v>
      </c>
      <c r="O59" s="249">
        <f>Exits!D19</f>
        <v>0</v>
      </c>
      <c r="P59" s="250">
        <v>0</v>
      </c>
      <c r="Q59" s="250">
        <v>0</v>
      </c>
      <c r="R59" s="250">
        <v>0</v>
      </c>
      <c r="S59" s="250">
        <v>0</v>
      </c>
      <c r="T59" s="250">
        <v>0</v>
      </c>
      <c r="U59" s="250">
        <v>0</v>
      </c>
      <c r="V59" s="250"/>
      <c r="W59" s="251">
        <f t="shared" si="116"/>
        <v>0</v>
      </c>
      <c r="Y59" s="248"/>
      <c r="Z59" s="249" t="s">
        <v>6</v>
      </c>
      <c r="AA59" s="250">
        <f>Exits!E19</f>
        <v>0</v>
      </c>
      <c r="AB59" s="250">
        <v>0</v>
      </c>
      <c r="AC59" s="250">
        <v>0</v>
      </c>
      <c r="AD59" s="250">
        <v>0</v>
      </c>
      <c r="AE59" s="250">
        <v>0</v>
      </c>
      <c r="AF59" s="250">
        <v>0</v>
      </c>
      <c r="AG59" s="250">
        <v>0</v>
      </c>
      <c r="AH59" s="251"/>
      <c r="AI59" s="251">
        <f t="shared" si="117"/>
        <v>0</v>
      </c>
      <c r="AK59" s="247"/>
      <c r="AL59" s="248" t="s">
        <v>6</v>
      </c>
      <c r="AM59" s="249">
        <f>Exits!F19</f>
        <v>0</v>
      </c>
      <c r="AN59" s="250">
        <v>0</v>
      </c>
      <c r="AO59" s="250">
        <v>0</v>
      </c>
      <c r="AP59" s="250">
        <v>0</v>
      </c>
      <c r="AQ59" s="250">
        <v>0</v>
      </c>
      <c r="AR59" s="250">
        <v>0</v>
      </c>
      <c r="AS59" s="250">
        <v>0</v>
      </c>
      <c r="AT59" s="250">
        <v>0</v>
      </c>
      <c r="AU59" s="251">
        <f t="shared" si="118"/>
        <v>0</v>
      </c>
      <c r="AW59" s="247"/>
      <c r="AX59" s="248" t="s">
        <v>6</v>
      </c>
      <c r="AY59" s="249">
        <f>Exits!G19</f>
        <v>0</v>
      </c>
      <c r="AZ59" s="250">
        <v>0</v>
      </c>
      <c r="BA59" s="250">
        <v>0</v>
      </c>
      <c r="BB59" s="250">
        <v>0</v>
      </c>
      <c r="BC59" s="250">
        <v>0</v>
      </c>
      <c r="BD59" s="250">
        <v>0</v>
      </c>
      <c r="BE59" s="250">
        <v>0</v>
      </c>
      <c r="BF59" s="250"/>
      <c r="BG59" s="251">
        <f t="shared" si="119"/>
        <v>0</v>
      </c>
      <c r="BI59" s="69" t="str">
        <f>IF(OR(K59&lt;0,W59&lt;0,AI59&lt;0,AU59&lt;0,BG59&lt;0),"!! Total must be &gt;= sum by situation",IF(OR(C59&lt;SUM(O59,AA59,AM59,AY59),D59&lt;SUM(P59,AB59,AN59,AZ59),E59&lt;SUM(Q59,AC59,AO59,BA59),F59&lt;SUM(R59,AD59,AP59,BB59),G59&lt;SUM(S59,AE59,AQ59,BC59),H59&lt;SUM(T59,AF59,AR59,BD59),I59&lt;SUM(U59,AG59,AS59,BE59),J59&lt;SUM(V59,AH59,AT59,BF59)),"!! Values in FU1 must be &gt;= sum of values in FU2 - FU5",""))</f>
        <v/>
      </c>
      <c r="BK59" s="265"/>
    </row>
    <row r="60" spans="1:63" x14ac:dyDescent="0.2">
      <c r="A60" s="247"/>
      <c r="B60" s="248" t="s">
        <v>7</v>
      </c>
      <c r="C60" s="249">
        <f>Exits!C20</f>
        <v>0</v>
      </c>
      <c r="D60" s="250">
        <v>0</v>
      </c>
      <c r="E60" s="250">
        <v>0</v>
      </c>
      <c r="F60" s="250">
        <v>0</v>
      </c>
      <c r="G60" s="250">
        <v>0</v>
      </c>
      <c r="H60" s="250">
        <v>0</v>
      </c>
      <c r="I60" s="250">
        <v>0</v>
      </c>
      <c r="J60" s="250"/>
      <c r="K60" s="251">
        <f t="shared" si="115"/>
        <v>0</v>
      </c>
      <c r="M60" s="247"/>
      <c r="N60" s="248" t="s">
        <v>7</v>
      </c>
      <c r="O60" s="249">
        <f>Exits!D20</f>
        <v>0</v>
      </c>
      <c r="P60" s="250">
        <v>0</v>
      </c>
      <c r="Q60" s="250">
        <v>0</v>
      </c>
      <c r="R60" s="250">
        <v>0</v>
      </c>
      <c r="S60" s="250">
        <v>0</v>
      </c>
      <c r="T60" s="250">
        <v>0</v>
      </c>
      <c r="U60" s="250">
        <v>0</v>
      </c>
      <c r="V60" s="250"/>
      <c r="W60" s="251">
        <f t="shared" si="116"/>
        <v>0</v>
      </c>
      <c r="Y60" s="248"/>
      <c r="Z60" s="249" t="s">
        <v>7</v>
      </c>
      <c r="AA60" s="250">
        <f>Exits!E20</f>
        <v>0</v>
      </c>
      <c r="AB60" s="250">
        <v>0</v>
      </c>
      <c r="AC60" s="250">
        <v>0</v>
      </c>
      <c r="AD60" s="250">
        <v>0</v>
      </c>
      <c r="AE60" s="250">
        <v>0</v>
      </c>
      <c r="AF60" s="250">
        <v>0</v>
      </c>
      <c r="AG60" s="250">
        <v>0</v>
      </c>
      <c r="AH60" s="251"/>
      <c r="AI60" s="251">
        <f t="shared" si="117"/>
        <v>0</v>
      </c>
      <c r="AK60" s="247"/>
      <c r="AL60" s="248" t="s">
        <v>7</v>
      </c>
      <c r="AM60" s="249">
        <f>Exits!F20</f>
        <v>0</v>
      </c>
      <c r="AN60" s="250">
        <v>0</v>
      </c>
      <c r="AO60" s="250">
        <v>0</v>
      </c>
      <c r="AP60" s="250">
        <v>0</v>
      </c>
      <c r="AQ60" s="250">
        <v>0</v>
      </c>
      <c r="AR60" s="250">
        <v>0</v>
      </c>
      <c r="AS60" s="250">
        <v>0</v>
      </c>
      <c r="AT60" s="250">
        <v>0</v>
      </c>
      <c r="AU60" s="251">
        <f t="shared" si="118"/>
        <v>0</v>
      </c>
      <c r="AW60" s="247"/>
      <c r="AX60" s="248" t="s">
        <v>7</v>
      </c>
      <c r="AY60" s="249">
        <f>Exits!G20</f>
        <v>0</v>
      </c>
      <c r="AZ60" s="250">
        <v>0</v>
      </c>
      <c r="BA60" s="250">
        <v>0</v>
      </c>
      <c r="BB60" s="250">
        <v>0</v>
      </c>
      <c r="BC60" s="250">
        <v>0</v>
      </c>
      <c r="BD60" s="250">
        <v>0</v>
      </c>
      <c r="BE60" s="250">
        <v>0</v>
      </c>
      <c r="BF60" s="250"/>
      <c r="BG60" s="251">
        <f t="shared" si="119"/>
        <v>0</v>
      </c>
      <c r="BI60" s="69" t="str">
        <f t="shared" ref="BI60:BI61" si="120">IF(OR(K60&lt;0,W60&lt;0,AI60&lt;0,AU60&lt;0,BG60&lt;0),"!! Total must be &gt;= sum by situation",IF(OR(C60&lt;SUM(O60,AA60,AM60,AY60),D60&lt;SUM(P60,AB60,AN60,AZ60),E60&lt;SUM(Q60,AC60,AO60,BA60),F60&lt;SUM(R60,AD60,AP60,BB60),G60&lt;SUM(S60,AE60,AQ60,BC60),H60&lt;SUM(T60,AF60,AR60,BD60),I60&lt;SUM(U60,AG60,AS60,BE60),J60&lt;SUM(V60,AH60,AT60,BF60)),"!! Values in FU1 must be &gt;= sum of values in FU2 - FU5",""))</f>
        <v/>
      </c>
      <c r="BK60" s="265"/>
    </row>
    <row r="61" spans="1:63" x14ac:dyDescent="0.2">
      <c r="A61" s="247"/>
      <c r="B61" s="248" t="s">
        <v>577</v>
      </c>
      <c r="C61" s="249">
        <f>Exits!C21</f>
        <v>0</v>
      </c>
      <c r="D61" s="250">
        <v>0</v>
      </c>
      <c r="E61" s="250">
        <v>0</v>
      </c>
      <c r="F61" s="250">
        <v>0</v>
      </c>
      <c r="G61" s="250">
        <v>0</v>
      </c>
      <c r="H61" s="250">
        <v>0</v>
      </c>
      <c r="I61" s="250">
        <v>0</v>
      </c>
      <c r="J61" s="250"/>
      <c r="K61" s="251">
        <f t="shared" si="115"/>
        <v>0</v>
      </c>
      <c r="M61" s="247"/>
      <c r="N61" s="248" t="s">
        <v>577</v>
      </c>
      <c r="O61" s="249">
        <f>Exits!D21</f>
        <v>0</v>
      </c>
      <c r="P61" s="250">
        <v>0</v>
      </c>
      <c r="Q61" s="250">
        <v>0</v>
      </c>
      <c r="R61" s="250">
        <v>0</v>
      </c>
      <c r="S61" s="250">
        <v>0</v>
      </c>
      <c r="T61" s="250">
        <v>0</v>
      </c>
      <c r="U61" s="250">
        <v>0</v>
      </c>
      <c r="V61" s="250"/>
      <c r="W61" s="251">
        <f t="shared" si="116"/>
        <v>0</v>
      </c>
      <c r="Y61" s="248"/>
      <c r="Z61" s="249" t="s">
        <v>577</v>
      </c>
      <c r="AA61" s="250">
        <f>Exits!E21</f>
        <v>0</v>
      </c>
      <c r="AB61" s="250">
        <v>0</v>
      </c>
      <c r="AC61" s="250">
        <v>0</v>
      </c>
      <c r="AD61" s="250">
        <v>0</v>
      </c>
      <c r="AE61" s="250">
        <v>0</v>
      </c>
      <c r="AF61" s="250">
        <v>0</v>
      </c>
      <c r="AG61" s="250">
        <v>0</v>
      </c>
      <c r="AH61" s="251"/>
      <c r="AI61" s="251">
        <f t="shared" si="117"/>
        <v>0</v>
      </c>
      <c r="AK61" s="247"/>
      <c r="AL61" s="248" t="s">
        <v>577</v>
      </c>
      <c r="AM61" s="249">
        <f>Exits!F21</f>
        <v>0</v>
      </c>
      <c r="AN61" s="250">
        <v>0</v>
      </c>
      <c r="AO61" s="250">
        <v>0</v>
      </c>
      <c r="AP61" s="250">
        <v>0</v>
      </c>
      <c r="AQ61" s="250">
        <v>0</v>
      </c>
      <c r="AR61" s="250">
        <v>0</v>
      </c>
      <c r="AS61" s="250">
        <v>0</v>
      </c>
      <c r="AT61" s="250">
        <v>0</v>
      </c>
      <c r="AU61" s="251">
        <f t="shared" si="118"/>
        <v>0</v>
      </c>
      <c r="AW61" s="247"/>
      <c r="AX61" s="248" t="s">
        <v>577</v>
      </c>
      <c r="AY61" s="249">
        <f>Exits!G21</f>
        <v>0</v>
      </c>
      <c r="AZ61" s="250">
        <v>0</v>
      </c>
      <c r="BA61" s="250">
        <v>0</v>
      </c>
      <c r="BB61" s="250">
        <v>0</v>
      </c>
      <c r="BC61" s="250">
        <v>0</v>
      </c>
      <c r="BD61" s="250">
        <v>0</v>
      </c>
      <c r="BE61" s="250">
        <v>0</v>
      </c>
      <c r="BF61" s="250"/>
      <c r="BG61" s="251">
        <f t="shared" si="119"/>
        <v>0</v>
      </c>
      <c r="BI61" s="69" t="str">
        <f t="shared" si="120"/>
        <v/>
      </c>
      <c r="BK61" s="265"/>
    </row>
    <row r="62" spans="1:63" x14ac:dyDescent="0.2">
      <c r="A62" s="238" t="s">
        <v>5</v>
      </c>
      <c r="B62" s="243"/>
      <c r="C62" s="244" t="str">
        <f t="shared" ref="C62:K62" si="121">C$18</f>
        <v>Total</v>
      </c>
      <c r="D62" s="245" t="str">
        <f>D$18</f>
        <v>Employment</v>
      </c>
      <c r="E62" s="245" t="str">
        <f t="shared" ref="E62:I62" si="122">E$18</f>
        <v>Education</v>
      </c>
      <c r="F62" s="245" t="str">
        <f t="shared" si="122"/>
        <v>Apprenticeship</v>
      </c>
      <c r="G62" s="245" t="str">
        <f t="shared" si="122"/>
        <v>Traineeship</v>
      </c>
      <c r="H62" s="245" t="str">
        <f t="shared" si="122"/>
        <v>Unemployment</v>
      </c>
      <c r="I62" s="245" t="str">
        <f t="shared" si="122"/>
        <v>Inactivity</v>
      </c>
      <c r="J62" s="245"/>
      <c r="K62" s="246" t="str">
        <f t="shared" si="121"/>
        <v>Unknown</v>
      </c>
      <c r="M62" s="252" t="s">
        <v>5</v>
      </c>
      <c r="N62" s="243"/>
      <c r="O62" s="244" t="str">
        <f t="shared" ref="O62:W62" si="123">O$18</f>
        <v>Total</v>
      </c>
      <c r="P62" s="245" t="str">
        <f>P$18</f>
        <v>Employment</v>
      </c>
      <c r="Q62" s="245" t="str">
        <f t="shared" si="123"/>
        <v>Education</v>
      </c>
      <c r="R62" s="245" t="str">
        <f t="shared" si="123"/>
        <v>Apprenticeship</v>
      </c>
      <c r="S62" s="245" t="str">
        <f t="shared" si="123"/>
        <v>Traineeship</v>
      </c>
      <c r="T62" s="245" t="str">
        <f t="shared" si="123"/>
        <v>Unemployment</v>
      </c>
      <c r="U62" s="258" t="str">
        <f t="shared" si="123"/>
        <v>Inactivity</v>
      </c>
      <c r="V62" s="245"/>
      <c r="W62" s="246" t="str">
        <f t="shared" si="123"/>
        <v>Unknown</v>
      </c>
      <c r="Y62" s="243" t="s">
        <v>5</v>
      </c>
      <c r="Z62" s="244"/>
      <c r="AA62" s="245" t="str">
        <f t="shared" ref="AA62:AI62" si="124">AA$18</f>
        <v>Total</v>
      </c>
      <c r="AB62" s="245" t="str">
        <f t="shared" si="124"/>
        <v>Apprenticeship</v>
      </c>
      <c r="AC62" s="245" t="str">
        <f t="shared" si="124"/>
        <v>Education</v>
      </c>
      <c r="AD62" s="245" t="str">
        <f t="shared" si="124"/>
        <v>Apprenticeship</v>
      </c>
      <c r="AE62" s="245" t="str">
        <f t="shared" si="124"/>
        <v>Traineeship</v>
      </c>
      <c r="AF62" s="245" t="str">
        <f t="shared" si="124"/>
        <v>Unemployment</v>
      </c>
      <c r="AG62" s="258" t="str">
        <f t="shared" si="124"/>
        <v>Inactivity</v>
      </c>
      <c r="AH62" s="246" t="str">
        <f t="shared" si="124"/>
        <v>Not applicable</v>
      </c>
      <c r="AI62" s="246" t="str">
        <f t="shared" si="124"/>
        <v>Unknown</v>
      </c>
      <c r="AK62" s="252" t="s">
        <v>5</v>
      </c>
      <c r="AL62" s="243"/>
      <c r="AM62" s="244" t="str">
        <f t="shared" ref="AM62:AT62" si="125">AM$18</f>
        <v>Total</v>
      </c>
      <c r="AN62" s="245" t="str">
        <f t="shared" si="125"/>
        <v>Education</v>
      </c>
      <c r="AO62" s="245" t="str">
        <f t="shared" si="125"/>
        <v>Apprenticeship</v>
      </c>
      <c r="AP62" s="245" t="str">
        <f t="shared" si="125"/>
        <v>Education</v>
      </c>
      <c r="AQ62" s="245" t="str">
        <f t="shared" si="125"/>
        <v>Apprenticeship</v>
      </c>
      <c r="AR62" s="245" t="str">
        <f t="shared" si="125"/>
        <v>Traineeship</v>
      </c>
      <c r="AS62" s="258" t="str">
        <f t="shared" si="125"/>
        <v>Unemployment</v>
      </c>
      <c r="AT62" s="258" t="str">
        <f t="shared" si="125"/>
        <v>Inactivity</v>
      </c>
      <c r="AU62" s="246" t="str">
        <f t="shared" ref="AU62" si="126">AU$18</f>
        <v>Unknown</v>
      </c>
      <c r="AW62" s="252" t="s">
        <v>5</v>
      </c>
      <c r="AX62" s="243"/>
      <c r="AY62" s="244" t="str">
        <f t="shared" ref="AY62:BE62" si="127">AY$18</f>
        <v>Total</v>
      </c>
      <c r="AZ62" s="245" t="str">
        <f t="shared" si="127"/>
        <v>Employment</v>
      </c>
      <c r="BA62" s="245" t="str">
        <f t="shared" si="127"/>
        <v>Apprenticeship</v>
      </c>
      <c r="BB62" s="245" t="str">
        <f t="shared" si="127"/>
        <v>Apprenticeship</v>
      </c>
      <c r="BC62" s="245" t="str">
        <f t="shared" si="127"/>
        <v>Apprenticeship</v>
      </c>
      <c r="BD62" s="245" t="str">
        <f t="shared" si="127"/>
        <v>Traineeship</v>
      </c>
      <c r="BE62" s="258" t="str">
        <f t="shared" si="127"/>
        <v>Inactivity</v>
      </c>
      <c r="BF62" s="258"/>
      <c r="BG62" s="246" t="str">
        <f t="shared" ref="BG62" si="128">BG$18</f>
        <v>Unknown</v>
      </c>
      <c r="BI62" s="69"/>
      <c r="BK62" s="265"/>
    </row>
    <row r="63" spans="1:63" x14ac:dyDescent="0.2">
      <c r="A63" s="247"/>
      <c r="B63" s="248" t="s">
        <v>578</v>
      </c>
      <c r="C63" s="249">
        <f>Exits!C23</f>
        <v>0</v>
      </c>
      <c r="D63" s="250">
        <v>0</v>
      </c>
      <c r="E63" s="250">
        <v>0</v>
      </c>
      <c r="F63" s="250">
        <v>0</v>
      </c>
      <c r="G63" s="250">
        <v>0</v>
      </c>
      <c r="H63" s="250">
        <v>0</v>
      </c>
      <c r="I63" s="250">
        <v>0</v>
      </c>
      <c r="J63" s="250"/>
      <c r="K63" s="251">
        <f t="shared" ref="K63:K65" si="129">C63-SUM(D63:G63,H63:I63,J63)</f>
        <v>0</v>
      </c>
      <c r="M63" s="247"/>
      <c r="N63" s="248" t="s">
        <v>578</v>
      </c>
      <c r="O63" s="249">
        <f>Exits!D23</f>
        <v>0</v>
      </c>
      <c r="P63" s="250">
        <v>0</v>
      </c>
      <c r="Q63" s="250">
        <v>0</v>
      </c>
      <c r="R63" s="250">
        <v>0</v>
      </c>
      <c r="S63" s="250">
        <v>0</v>
      </c>
      <c r="T63" s="250">
        <v>0</v>
      </c>
      <c r="U63" s="250">
        <v>0</v>
      </c>
      <c r="V63" s="250"/>
      <c r="W63" s="251">
        <f t="shared" ref="W63:W65" si="130">O63-SUM(P63:S63,T63:U63,V63)</f>
        <v>0</v>
      </c>
      <c r="Y63" s="248"/>
      <c r="Z63" s="249" t="s">
        <v>578</v>
      </c>
      <c r="AA63" s="250">
        <f>Exits!E23</f>
        <v>0</v>
      </c>
      <c r="AB63" s="250">
        <v>0</v>
      </c>
      <c r="AC63" s="250">
        <v>0</v>
      </c>
      <c r="AD63" s="250">
        <v>0</v>
      </c>
      <c r="AE63" s="250">
        <v>0</v>
      </c>
      <c r="AF63" s="250">
        <v>0</v>
      </c>
      <c r="AG63" s="250">
        <v>0</v>
      </c>
      <c r="AH63" s="251"/>
      <c r="AI63" s="251">
        <f t="shared" ref="AI63:AI65" si="131">AA63-SUM(AB63:AE63,AF63:AG63,AH63)</f>
        <v>0</v>
      </c>
      <c r="AK63" s="247"/>
      <c r="AL63" s="248" t="s">
        <v>578</v>
      </c>
      <c r="AM63" s="249">
        <f>Exits!F23</f>
        <v>0</v>
      </c>
      <c r="AN63" s="250">
        <v>0</v>
      </c>
      <c r="AO63" s="250">
        <v>0</v>
      </c>
      <c r="AP63" s="250">
        <v>0</v>
      </c>
      <c r="AQ63" s="250">
        <v>0</v>
      </c>
      <c r="AR63" s="250">
        <v>0</v>
      </c>
      <c r="AS63" s="250">
        <v>0</v>
      </c>
      <c r="AT63" s="250">
        <v>0</v>
      </c>
      <c r="AU63" s="251">
        <f t="shared" ref="AU63:AU65" si="132">AM63-SUM(AN63:AQ63,AR63:AS63,AT63)</f>
        <v>0</v>
      </c>
      <c r="AW63" s="247"/>
      <c r="AX63" s="248" t="s">
        <v>578</v>
      </c>
      <c r="AY63" s="249">
        <f>Exits!G23</f>
        <v>0</v>
      </c>
      <c r="AZ63" s="250">
        <v>0</v>
      </c>
      <c r="BA63" s="250">
        <v>0</v>
      </c>
      <c r="BB63" s="250">
        <v>0</v>
      </c>
      <c r="BC63" s="250">
        <v>0</v>
      </c>
      <c r="BD63" s="250">
        <v>0</v>
      </c>
      <c r="BE63" s="250">
        <v>0</v>
      </c>
      <c r="BF63" s="250"/>
      <c r="BG63" s="251">
        <f t="shared" ref="BG63:BG65" si="133">AY63-SUM(AZ63:BC63,BD63:BE63,BF63)</f>
        <v>0</v>
      </c>
      <c r="BI63" s="69" t="str">
        <f>IF(OR(K63&lt;0,W63&lt;0,AI63&lt;0,AU63&lt;0,BG63&lt;0),"!! Total must be &gt;= sum by situation",IF(OR(C63&lt;SUM(O63,AA63,AM63,AY63),D63&lt;SUM(P63,AB63,AN63,AZ63),E63&lt;SUM(Q63,AC63,AO63,BA63),F63&lt;SUM(R63,AD63,AP63,BB63),G63&lt;SUM(S63,AE63,AQ63,BC63),H63&lt;SUM(T63,AF63,AR63,BD63),I63&lt;SUM(U63,AG63,AS63,BE63),J63&lt;SUM(V63,AH63,AT63,BF63)),"!! Values in FU1 must be &gt;= sum of values in FU2 - FU5",""))</f>
        <v/>
      </c>
      <c r="BK63" s="265"/>
    </row>
    <row r="64" spans="1:63" x14ac:dyDescent="0.2">
      <c r="A64" s="247"/>
      <c r="B64" s="248" t="s">
        <v>6</v>
      </c>
      <c r="C64" s="249">
        <f>Exits!C24</f>
        <v>0</v>
      </c>
      <c r="D64" s="250">
        <v>0</v>
      </c>
      <c r="E64" s="250">
        <v>0</v>
      </c>
      <c r="F64" s="250">
        <v>0</v>
      </c>
      <c r="G64" s="250">
        <v>0</v>
      </c>
      <c r="H64" s="250">
        <v>0</v>
      </c>
      <c r="I64" s="250">
        <v>0</v>
      </c>
      <c r="J64" s="250"/>
      <c r="K64" s="251">
        <f t="shared" si="129"/>
        <v>0</v>
      </c>
      <c r="M64" s="247"/>
      <c r="N64" s="248" t="s">
        <v>6</v>
      </c>
      <c r="O64" s="249">
        <f>Exits!D24</f>
        <v>0</v>
      </c>
      <c r="P64" s="250">
        <v>0</v>
      </c>
      <c r="Q64" s="250">
        <v>0</v>
      </c>
      <c r="R64" s="250">
        <v>0</v>
      </c>
      <c r="S64" s="250">
        <v>0</v>
      </c>
      <c r="T64" s="250">
        <v>0</v>
      </c>
      <c r="U64" s="250">
        <v>0</v>
      </c>
      <c r="V64" s="250"/>
      <c r="W64" s="251">
        <f t="shared" si="130"/>
        <v>0</v>
      </c>
      <c r="Y64" s="248"/>
      <c r="Z64" s="249" t="s">
        <v>6</v>
      </c>
      <c r="AA64" s="250">
        <f>Exits!E24</f>
        <v>0</v>
      </c>
      <c r="AB64" s="250">
        <v>0</v>
      </c>
      <c r="AC64" s="250">
        <v>0</v>
      </c>
      <c r="AD64" s="250">
        <v>0</v>
      </c>
      <c r="AE64" s="250">
        <v>0</v>
      </c>
      <c r="AF64" s="250">
        <v>0</v>
      </c>
      <c r="AG64" s="250">
        <v>0</v>
      </c>
      <c r="AH64" s="251"/>
      <c r="AI64" s="251">
        <f t="shared" si="131"/>
        <v>0</v>
      </c>
      <c r="AK64" s="247"/>
      <c r="AL64" s="248" t="s">
        <v>6</v>
      </c>
      <c r="AM64" s="249">
        <f>Exits!F24</f>
        <v>0</v>
      </c>
      <c r="AN64" s="250">
        <v>0</v>
      </c>
      <c r="AO64" s="250">
        <v>0</v>
      </c>
      <c r="AP64" s="250">
        <v>0</v>
      </c>
      <c r="AQ64" s="250">
        <v>0</v>
      </c>
      <c r="AR64" s="250">
        <v>0</v>
      </c>
      <c r="AS64" s="250">
        <v>0</v>
      </c>
      <c r="AT64" s="250">
        <v>0</v>
      </c>
      <c r="AU64" s="251">
        <f t="shared" si="132"/>
        <v>0</v>
      </c>
      <c r="AW64" s="247"/>
      <c r="AX64" s="248" t="s">
        <v>6</v>
      </c>
      <c r="AY64" s="249">
        <f>Exits!G24</f>
        <v>0</v>
      </c>
      <c r="AZ64" s="250">
        <v>0</v>
      </c>
      <c r="BA64" s="250">
        <v>0</v>
      </c>
      <c r="BB64" s="250">
        <v>0</v>
      </c>
      <c r="BC64" s="250">
        <v>0</v>
      </c>
      <c r="BD64" s="250">
        <v>0</v>
      </c>
      <c r="BE64" s="250">
        <v>0</v>
      </c>
      <c r="BF64" s="250"/>
      <c r="BG64" s="251">
        <f t="shared" si="133"/>
        <v>0</v>
      </c>
      <c r="BI64" s="69" t="str">
        <f>IF(OR(K64&lt;0,W64&lt;0,AI64&lt;0,AU64&lt;0,BG64&lt;0),"!! Total must be &gt;= sum by situation",IF(OR(C64&lt;SUM(O64,AA64,AM64,AY64),D64&lt;SUM(P64,AB64,AN64,AZ64),E64&lt;SUM(Q64,AC64,AO64,BA64),F64&lt;SUM(R64,AD64,AP64,BB64),G64&lt;SUM(S64,AE64,AQ64,BC64),H64&lt;SUM(T64,AF64,AR64,BD64),I64&lt;SUM(U64,AG64,AS64,BE64),J64&lt;SUM(V64,AH64,AT64,BF64)),"!! Values in FU1 must be &gt;= sum of values in FU2 - FU5",""))</f>
        <v/>
      </c>
      <c r="BK64" s="265"/>
    </row>
    <row r="65" spans="1:63" x14ac:dyDescent="0.2">
      <c r="A65" s="247"/>
      <c r="B65" s="248" t="s">
        <v>7</v>
      </c>
      <c r="C65" s="249">
        <f>Exits!C25</f>
        <v>0</v>
      </c>
      <c r="D65" s="250">
        <v>0</v>
      </c>
      <c r="E65" s="250">
        <v>0</v>
      </c>
      <c r="F65" s="250">
        <v>0</v>
      </c>
      <c r="G65" s="250">
        <v>0</v>
      </c>
      <c r="H65" s="250">
        <v>0</v>
      </c>
      <c r="I65" s="250">
        <v>0</v>
      </c>
      <c r="J65" s="250"/>
      <c r="K65" s="251">
        <f t="shared" si="129"/>
        <v>0</v>
      </c>
      <c r="M65" s="247"/>
      <c r="N65" s="248" t="s">
        <v>7</v>
      </c>
      <c r="O65" s="249">
        <f>Exits!D25</f>
        <v>0</v>
      </c>
      <c r="P65" s="250">
        <v>0</v>
      </c>
      <c r="Q65" s="250">
        <v>0</v>
      </c>
      <c r="R65" s="250">
        <v>0</v>
      </c>
      <c r="S65" s="250">
        <v>0</v>
      </c>
      <c r="T65" s="250">
        <v>0</v>
      </c>
      <c r="U65" s="250">
        <v>0</v>
      </c>
      <c r="V65" s="250"/>
      <c r="W65" s="251">
        <f t="shared" si="130"/>
        <v>0</v>
      </c>
      <c r="Y65" s="248"/>
      <c r="Z65" s="249" t="s">
        <v>7</v>
      </c>
      <c r="AA65" s="250">
        <f>Exits!E25</f>
        <v>0</v>
      </c>
      <c r="AB65" s="250">
        <v>0</v>
      </c>
      <c r="AC65" s="250">
        <v>0</v>
      </c>
      <c r="AD65" s="250">
        <v>0</v>
      </c>
      <c r="AE65" s="250">
        <v>0</v>
      </c>
      <c r="AF65" s="250">
        <v>0</v>
      </c>
      <c r="AG65" s="250">
        <v>0</v>
      </c>
      <c r="AH65" s="251"/>
      <c r="AI65" s="251">
        <f t="shared" si="131"/>
        <v>0</v>
      </c>
      <c r="AK65" s="247"/>
      <c r="AL65" s="248" t="s">
        <v>7</v>
      </c>
      <c r="AM65" s="249">
        <f>Exits!F25</f>
        <v>0</v>
      </c>
      <c r="AN65" s="250">
        <v>0</v>
      </c>
      <c r="AO65" s="250">
        <v>0</v>
      </c>
      <c r="AP65" s="250">
        <v>0</v>
      </c>
      <c r="AQ65" s="250">
        <v>0</v>
      </c>
      <c r="AR65" s="250">
        <v>0</v>
      </c>
      <c r="AS65" s="250">
        <v>0</v>
      </c>
      <c r="AT65" s="250">
        <v>0</v>
      </c>
      <c r="AU65" s="251">
        <f t="shared" si="132"/>
        <v>0</v>
      </c>
      <c r="AW65" s="247"/>
      <c r="AX65" s="248" t="s">
        <v>7</v>
      </c>
      <c r="AY65" s="249">
        <f>Exits!G25</f>
        <v>0</v>
      </c>
      <c r="AZ65" s="250">
        <v>0</v>
      </c>
      <c r="BA65" s="250">
        <v>0</v>
      </c>
      <c r="BB65" s="250">
        <v>0</v>
      </c>
      <c r="BC65" s="250">
        <v>0</v>
      </c>
      <c r="BD65" s="250">
        <v>0</v>
      </c>
      <c r="BE65" s="250">
        <v>0</v>
      </c>
      <c r="BF65" s="250"/>
      <c r="BG65" s="251">
        <f t="shared" si="133"/>
        <v>0</v>
      </c>
      <c r="BI65" s="69" t="str">
        <f t="shared" ref="BI65:BI66" si="134">IF(OR(K65&lt;0,W65&lt;0,AI65&lt;0,AU65&lt;0,BG65&lt;0),"!! Total must be &gt;= sum by situation",IF(OR(C65&lt;SUM(O65,AA65,AM65,AY65),D65&lt;SUM(P65,AB65,AN65,AZ65),E65&lt;SUM(Q65,AC65,AO65,BA65),F65&lt;SUM(R65,AD65,AP65,BB65),G65&lt;SUM(S65,AE65,AQ65,BC65),H65&lt;SUM(T65,AF65,AR65,BD65),I65&lt;SUM(U65,AG65,AS65,BE65),J65&lt;SUM(V65,AH65,AT65,BF65)),"!! Values in FU1 must be &gt;= sum of values in FU2 - FU5",""))</f>
        <v/>
      </c>
      <c r="BK65" s="265"/>
    </row>
    <row r="66" spans="1:63" ht="16" thickBot="1" x14ac:dyDescent="0.25">
      <c r="A66" s="253"/>
      <c r="B66" s="254" t="s">
        <v>577</v>
      </c>
      <c r="C66" s="255">
        <f>Exits!C26</f>
        <v>0</v>
      </c>
      <c r="D66" s="256">
        <v>0</v>
      </c>
      <c r="E66" s="256">
        <v>0</v>
      </c>
      <c r="F66" s="256">
        <v>0</v>
      </c>
      <c r="G66" s="256">
        <v>0</v>
      </c>
      <c r="H66" s="256">
        <v>0</v>
      </c>
      <c r="I66" s="256">
        <v>0</v>
      </c>
      <c r="J66" s="256"/>
      <c r="K66" s="257">
        <f>C66-SUM(D66:G66,H66:I66,J66)</f>
        <v>0</v>
      </c>
      <c r="M66" s="253"/>
      <c r="N66" s="254" t="s">
        <v>577</v>
      </c>
      <c r="O66" s="259">
        <f>Exits!D26</f>
        <v>0</v>
      </c>
      <c r="P66" s="256">
        <v>0</v>
      </c>
      <c r="Q66" s="256">
        <v>0</v>
      </c>
      <c r="R66" s="256">
        <v>0</v>
      </c>
      <c r="S66" s="256">
        <v>0</v>
      </c>
      <c r="T66" s="256">
        <v>0</v>
      </c>
      <c r="U66" s="256">
        <v>0</v>
      </c>
      <c r="V66" s="256"/>
      <c r="W66" s="257">
        <f>O66-SUM(P66:S66,T66:U66,V66)</f>
        <v>0</v>
      </c>
      <c r="Y66" s="254"/>
      <c r="Z66" s="259" t="s">
        <v>577</v>
      </c>
      <c r="AA66" s="256">
        <f>Exits!E26</f>
        <v>0</v>
      </c>
      <c r="AB66" s="256">
        <v>0</v>
      </c>
      <c r="AC66" s="256">
        <v>0</v>
      </c>
      <c r="AD66" s="256">
        <v>0</v>
      </c>
      <c r="AE66" s="256">
        <v>0</v>
      </c>
      <c r="AF66" s="256">
        <v>0</v>
      </c>
      <c r="AG66" s="256">
        <v>0</v>
      </c>
      <c r="AH66" s="257"/>
      <c r="AI66" s="257">
        <f>AA66-SUM(AB66:AE66,AF66:AG66,AH66)</f>
        <v>0</v>
      </c>
      <c r="AK66" s="253"/>
      <c r="AL66" s="254" t="s">
        <v>577</v>
      </c>
      <c r="AM66" s="259">
        <f>Exits!F26</f>
        <v>0</v>
      </c>
      <c r="AN66" s="256">
        <v>0</v>
      </c>
      <c r="AO66" s="256">
        <v>0</v>
      </c>
      <c r="AP66" s="256">
        <v>0</v>
      </c>
      <c r="AQ66" s="256">
        <v>0</v>
      </c>
      <c r="AR66" s="256">
        <v>0</v>
      </c>
      <c r="AS66" s="256">
        <v>0</v>
      </c>
      <c r="AT66" s="256">
        <v>0</v>
      </c>
      <c r="AU66" s="257">
        <f>AM66-SUM(AN66:AQ66,AR66:AS66,AT66)</f>
        <v>0</v>
      </c>
      <c r="AW66" s="253"/>
      <c r="AX66" s="254" t="s">
        <v>577</v>
      </c>
      <c r="AY66" s="259">
        <f>Exits!G26</f>
        <v>0</v>
      </c>
      <c r="AZ66" s="256">
        <v>0</v>
      </c>
      <c r="BA66" s="256">
        <v>0</v>
      </c>
      <c r="BB66" s="256">
        <v>0</v>
      </c>
      <c r="BC66" s="256">
        <v>0</v>
      </c>
      <c r="BD66" s="256">
        <v>0</v>
      </c>
      <c r="BE66" s="256">
        <v>0</v>
      </c>
      <c r="BF66" s="256"/>
      <c r="BG66" s="257">
        <f>AY66-SUM(AZ66:BC66,BD66:BE66,BF66)</f>
        <v>0</v>
      </c>
      <c r="BI66" s="70" t="str">
        <f t="shared" si="134"/>
        <v/>
      </c>
      <c r="BK66" s="266"/>
    </row>
    <row r="67" spans="1:63" ht="16" thickTop="1" x14ac:dyDescent="0.2"/>
  </sheetData>
  <sheetProtection formatCells="0" formatColumns="0" formatRows="0"/>
  <mergeCells count="59">
    <mergeCell ref="P15:S15"/>
    <mergeCell ref="T15:T16"/>
    <mergeCell ref="U15:U16"/>
    <mergeCell ref="A13:B16"/>
    <mergeCell ref="C13:C15"/>
    <mergeCell ref="D13:K13"/>
    <mergeCell ref="D14:G14"/>
    <mergeCell ref="H14:I14"/>
    <mergeCell ref="K14:K16"/>
    <mergeCell ref="D15:G15"/>
    <mergeCell ref="H15:H16"/>
    <mergeCell ref="I15:I16"/>
    <mergeCell ref="AZ13:BG13"/>
    <mergeCell ref="AZ14:BC14"/>
    <mergeCell ref="BD14:BE14"/>
    <mergeCell ref="BG14:BG16"/>
    <mergeCell ref="AW12:BG12"/>
    <mergeCell ref="BD15:BD16"/>
    <mergeCell ref="BE15:BE16"/>
    <mergeCell ref="BF14:BF16"/>
    <mergeCell ref="Y13:Z16"/>
    <mergeCell ref="AA13:AA15"/>
    <mergeCell ref="M3:W7"/>
    <mergeCell ref="AW13:AX16"/>
    <mergeCell ref="AY13:AY15"/>
    <mergeCell ref="AB13:AI13"/>
    <mergeCell ref="AB14:AE14"/>
    <mergeCell ref="AF14:AG14"/>
    <mergeCell ref="AI14:AI16"/>
    <mergeCell ref="AB15:AE15"/>
    <mergeCell ref="M13:N16"/>
    <mergeCell ref="O13:O15"/>
    <mergeCell ref="P13:W13"/>
    <mergeCell ref="P14:S14"/>
    <mergeCell ref="T14:U14"/>
    <mergeCell ref="W14:W16"/>
    <mergeCell ref="V14:V16"/>
    <mergeCell ref="J14:J16"/>
    <mergeCell ref="BK14:BK17"/>
    <mergeCell ref="A12:K12"/>
    <mergeCell ref="M12:W12"/>
    <mergeCell ref="Y12:AI12"/>
    <mergeCell ref="AK12:AU12"/>
    <mergeCell ref="AZ15:BC15"/>
    <mergeCell ref="AK13:AL16"/>
    <mergeCell ref="AM13:AM15"/>
    <mergeCell ref="AN13:AU13"/>
    <mergeCell ref="AN14:AQ14"/>
    <mergeCell ref="AR14:AS14"/>
    <mergeCell ref="AU14:AU16"/>
    <mergeCell ref="AN15:AQ15"/>
    <mergeCell ref="AR15:AR16"/>
    <mergeCell ref="BI14:BI16"/>
    <mergeCell ref="BK18:BK66"/>
    <mergeCell ref="AF15:AF16"/>
    <mergeCell ref="AG15:AG16"/>
    <mergeCell ref="AT14:AT16"/>
    <mergeCell ref="AH14:AH16"/>
    <mergeCell ref="AS15:AS16"/>
  </mergeCells>
  <conditionalFormatting sqref="K19:K66">
    <cfRule type="expression" dxfId="10" priority="33">
      <formula>K19&lt;0</formula>
    </cfRule>
  </conditionalFormatting>
  <conditionalFormatting sqref="W19:W66">
    <cfRule type="expression" dxfId="9" priority="26">
      <formula>W19&lt;0</formula>
    </cfRule>
  </conditionalFormatting>
  <conditionalFormatting sqref="AH50:AH66">
    <cfRule type="expression" dxfId="8" priority="4">
      <formula>AH50&lt;0</formula>
    </cfRule>
  </conditionalFormatting>
  <conditionalFormatting sqref="AI19:AI66">
    <cfRule type="expression" dxfId="7" priority="19">
      <formula>AI19&lt;0</formula>
    </cfRule>
  </conditionalFormatting>
  <conditionalFormatting sqref="AU19:AU66">
    <cfRule type="expression" dxfId="6" priority="2">
      <formula>AU19&lt;0</formula>
    </cfRule>
  </conditionalFormatting>
  <conditionalFormatting sqref="BG19:BG66">
    <cfRule type="expression" dxfId="5" priority="1">
      <formula>BG19&lt;0</formula>
    </cfRule>
  </conditionalFormatting>
  <pageMargins left="0.23622047244094491" right="0.23622047244094491" top="0.35433070866141736" bottom="0.55118110236220474" header="0.31496062992125984" footer="0.11811023622047245"/>
  <pageSetup paperSize="9" scale="67" orientation="landscape" r:id="rId1"/>
  <headerFooter>
    <oddFooter>&amp;LYG monitoring (pilot)&amp;R&amp;A\&amp;P</oddFooter>
  </headerFooter>
  <rowBreaks count="1" manualBreakCount="1">
    <brk id="49" max="16383" man="1"/>
  </rowBreaks>
  <colBreaks count="4" manualBreakCount="4">
    <brk id="11" max="1048575" man="1"/>
    <brk id="23" max="1048575" man="1"/>
    <brk id="35" max="1048575" man="1"/>
    <brk id="47"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BK67"/>
  <sheetViews>
    <sheetView topLeftCell="AU14" zoomScaleNormal="100" workbookViewId="0">
      <selection activeCell="BG14" sqref="BG1:BG1048576"/>
    </sheetView>
  </sheetViews>
  <sheetFormatPr baseColWidth="10" defaultColWidth="9.1640625" defaultRowHeight="15" x14ac:dyDescent="0.2"/>
  <cols>
    <col min="1" max="1" width="2.5" customWidth="1"/>
    <col min="2" max="2" width="19.5" customWidth="1"/>
    <col min="3" max="3" width="9.5" customWidth="1"/>
    <col min="4" max="4" width="9.83203125" customWidth="1"/>
    <col min="5" max="5" width="10.1640625" customWidth="1"/>
    <col min="6" max="8" width="10.5" customWidth="1"/>
    <col min="9" max="9" width="9.1640625" bestFit="1" customWidth="1"/>
    <col min="10" max="10" width="9.83203125" customWidth="1"/>
    <col min="11" max="11" width="10.5" style="31" customWidth="1"/>
    <col min="13" max="13" width="2.5" customWidth="1"/>
    <col min="14" max="14" width="19.83203125" customWidth="1"/>
    <col min="15" max="15" width="10.83203125" customWidth="1"/>
    <col min="16" max="16" width="9.83203125" customWidth="1"/>
    <col min="17" max="17" width="10.1640625" customWidth="1"/>
    <col min="18" max="19" width="10.5" customWidth="1"/>
    <col min="20" max="20" width="10" customWidth="1"/>
    <col min="21" max="21" width="9.1640625" bestFit="1" customWidth="1"/>
    <col min="22" max="22" width="10.1640625" customWidth="1"/>
    <col min="23" max="23" width="10.5" style="31" customWidth="1"/>
    <col min="25" max="25" width="2.5" customWidth="1"/>
    <col min="26" max="26" width="19.5" customWidth="1"/>
    <col min="27" max="27" width="9.5" customWidth="1"/>
    <col min="28" max="28" width="9.83203125" customWidth="1"/>
    <col min="29" max="29" width="10.1640625" customWidth="1"/>
    <col min="30" max="30" width="12.5" customWidth="1"/>
    <col min="31" max="31" width="14.5" customWidth="1"/>
    <col min="32" max="32" width="10" customWidth="1"/>
    <col min="33" max="33" width="9.1640625" bestFit="1" customWidth="1"/>
    <col min="34" max="34" width="10.1640625" customWidth="1"/>
    <col min="35" max="35" width="10.5" style="31" customWidth="1"/>
    <col min="37" max="37" width="2.5" customWidth="1"/>
    <col min="38" max="38" width="20" customWidth="1"/>
    <col min="39" max="39" width="11.5" customWidth="1"/>
    <col min="40" max="40" width="9.83203125" customWidth="1"/>
    <col min="41" max="41" width="10.1640625" customWidth="1"/>
    <col min="42" max="43" width="10.5" customWidth="1"/>
    <col min="44" max="44" width="10" customWidth="1"/>
    <col min="45" max="45" width="9.1640625" bestFit="1" customWidth="1"/>
    <col min="46" max="46" width="9.83203125" customWidth="1"/>
    <col min="47" max="47" width="10.5" style="31" customWidth="1"/>
    <col min="49" max="49" width="2.5" customWidth="1"/>
    <col min="50" max="50" width="19.83203125" customWidth="1"/>
    <col min="51" max="51" width="10.83203125" customWidth="1"/>
    <col min="52" max="52" width="9.83203125" customWidth="1"/>
    <col min="53" max="53" width="10.1640625" customWidth="1"/>
    <col min="54" max="55" width="10.5" customWidth="1"/>
    <col min="56" max="56" width="10" customWidth="1"/>
    <col min="57" max="57" width="9.1640625" bestFit="1" customWidth="1"/>
    <col min="58" max="58" width="9.83203125" customWidth="1"/>
    <col min="59" max="59" width="10.5" style="31" customWidth="1"/>
    <col min="60" max="60" width="3.5" customWidth="1"/>
    <col min="61" max="61" width="49.5" style="67" customWidth="1"/>
    <col min="62" max="62" width="3.5" customWidth="1"/>
    <col min="63" max="63" width="36.5" customWidth="1"/>
  </cols>
  <sheetData>
    <row r="1" spans="1:63" s="11" customFormat="1" ht="19" x14ac:dyDescent="0.25">
      <c r="A1" s="12" t="s">
        <v>229</v>
      </c>
      <c r="K1" s="30"/>
      <c r="M1" s="12"/>
      <c r="W1" s="30"/>
      <c r="Y1" s="12"/>
      <c r="AI1" s="30"/>
      <c r="AK1" s="12"/>
      <c r="AU1" s="30"/>
      <c r="AW1" s="12"/>
      <c r="BG1" s="30"/>
      <c r="BI1" s="66"/>
    </row>
    <row r="2" spans="1:63" ht="16" thickBot="1" x14ac:dyDescent="0.25">
      <c r="A2" s="1"/>
      <c r="B2" s="63"/>
    </row>
    <row r="3" spans="1:63" ht="19" x14ac:dyDescent="0.25">
      <c r="A3" s="93" t="s">
        <v>169</v>
      </c>
      <c r="B3" s="94"/>
      <c r="C3" s="94"/>
      <c r="D3" s="94"/>
      <c r="E3" s="94"/>
      <c r="F3" s="97" t="e">
        <f>RefYear_Main-1</f>
        <v>#REF!</v>
      </c>
      <c r="G3" s="95"/>
      <c r="H3" s="95"/>
      <c r="I3" s="95"/>
      <c r="J3" s="95"/>
      <c r="K3" s="96"/>
      <c r="M3" s="288" t="s">
        <v>187</v>
      </c>
      <c r="N3" s="289"/>
      <c r="O3" s="289"/>
      <c r="P3" s="289"/>
      <c r="Q3" s="289"/>
      <c r="R3" s="289"/>
      <c r="S3" s="289"/>
      <c r="T3" s="289"/>
      <c r="U3" s="289"/>
      <c r="V3" s="289"/>
      <c r="W3" s="290"/>
      <c r="BH3" s="90"/>
      <c r="BI3" s="90"/>
    </row>
    <row r="4" spans="1:63" ht="19" x14ac:dyDescent="0.25">
      <c r="A4" s="130" t="s">
        <v>214</v>
      </c>
      <c r="B4" s="77"/>
      <c r="C4" s="77"/>
      <c r="D4" s="77"/>
      <c r="E4" s="77"/>
      <c r="F4" s="77"/>
      <c r="G4" s="77"/>
      <c r="H4" s="77"/>
      <c r="I4" s="77"/>
      <c r="J4" s="77"/>
      <c r="K4" s="79"/>
      <c r="M4" s="291"/>
      <c r="N4" s="292"/>
      <c r="O4" s="292"/>
      <c r="P4" s="292"/>
      <c r="Q4" s="292"/>
      <c r="R4" s="292"/>
      <c r="S4" s="292"/>
      <c r="T4" s="292"/>
      <c r="U4" s="292"/>
      <c r="V4" s="292"/>
      <c r="W4" s="293"/>
      <c r="BH4" s="90"/>
      <c r="BI4" s="90"/>
    </row>
    <row r="5" spans="1:63" ht="19" x14ac:dyDescent="0.25">
      <c r="A5" s="78"/>
      <c r="B5" s="77" t="s">
        <v>170</v>
      </c>
      <c r="C5" s="153" t="e">
        <f ca="1">IF(12*(YEAR(NOW())-$F$3)+MONTH(NOW())&lt;7,"Partial (some ""Not applicable"")","Yes")</f>
        <v>#REF!</v>
      </c>
      <c r="D5" s="77"/>
      <c r="E5" s="77"/>
      <c r="F5" s="77"/>
      <c r="G5" s="77"/>
      <c r="H5" s="77"/>
      <c r="I5" s="77"/>
      <c r="J5" s="77"/>
      <c r="K5" s="79"/>
      <c r="M5" s="291"/>
      <c r="N5" s="292"/>
      <c r="O5" s="292"/>
      <c r="P5" s="292"/>
      <c r="Q5" s="292"/>
      <c r="R5" s="292"/>
      <c r="S5" s="292"/>
      <c r="T5" s="292"/>
      <c r="U5" s="292"/>
      <c r="V5" s="292"/>
      <c r="W5" s="293"/>
      <c r="BH5" s="90"/>
      <c r="BI5" s="90"/>
    </row>
    <row r="6" spans="1:63" x14ac:dyDescent="0.2">
      <c r="A6" s="78"/>
      <c r="B6" s="77" t="s">
        <v>171</v>
      </c>
      <c r="C6" s="153" t="e">
        <f ca="1">IF(12*(YEAR(NOW())-$F$3)+MONTH(NOW())&lt;13,"Partial (some ""Not applicable"")","Yes")</f>
        <v>#REF!</v>
      </c>
      <c r="D6" s="77"/>
      <c r="E6" s="77"/>
      <c r="F6" s="77"/>
      <c r="G6" s="77"/>
      <c r="H6" s="77"/>
      <c r="I6" s="77"/>
      <c r="J6" s="77"/>
      <c r="K6" s="79"/>
      <c r="M6" s="291"/>
      <c r="N6" s="292"/>
      <c r="O6" s="292"/>
      <c r="P6" s="292"/>
      <c r="Q6" s="292"/>
      <c r="R6" s="292"/>
      <c r="S6" s="292"/>
      <c r="T6" s="292"/>
      <c r="U6" s="292"/>
      <c r="V6" s="292"/>
      <c r="W6" s="293"/>
    </row>
    <row r="7" spans="1:63" ht="16" thickBot="1" x14ac:dyDescent="0.25">
      <c r="A7" s="80"/>
      <c r="B7" s="81" t="s">
        <v>172</v>
      </c>
      <c r="C7" s="152" t="e">
        <f ca="1">IF(12*(YEAR(NOW())-$F$3)+MONTH(NOW())&lt;19,"No", IF(12*(YEAR(NOW())-$F$3)+MONTH(NOW())&lt;31,"Partial (some ""Not applicable"")","Yes"))</f>
        <v>#REF!</v>
      </c>
      <c r="D7" s="81"/>
      <c r="E7" s="81"/>
      <c r="F7" s="81"/>
      <c r="G7" s="81"/>
      <c r="H7" s="81"/>
      <c r="I7" s="81"/>
      <c r="J7" s="81"/>
      <c r="K7" s="82"/>
      <c r="M7" s="294"/>
      <c r="N7" s="295"/>
      <c r="O7" s="295"/>
      <c r="P7" s="295"/>
      <c r="Q7" s="295"/>
      <c r="R7" s="295"/>
      <c r="S7" s="295"/>
      <c r="T7" s="295"/>
      <c r="U7" s="295"/>
      <c r="V7" s="295"/>
      <c r="W7" s="296"/>
      <c r="BH7" s="18"/>
    </row>
    <row r="8" spans="1:63" ht="16" thickBot="1" x14ac:dyDescent="0.25">
      <c r="A8" s="133"/>
      <c r="B8" s="133"/>
      <c r="C8" s="138"/>
      <c r="D8" s="133"/>
      <c r="E8" s="133"/>
      <c r="F8" s="133"/>
      <c r="G8" s="133"/>
      <c r="H8" s="133"/>
      <c r="I8" s="133"/>
      <c r="J8" s="133"/>
      <c r="K8" s="139"/>
      <c r="M8" s="140"/>
      <c r="N8" s="140"/>
      <c r="O8" s="140"/>
      <c r="P8" s="140"/>
      <c r="Q8" s="140"/>
      <c r="R8" s="140"/>
      <c r="S8" s="140"/>
      <c r="T8" s="140"/>
      <c r="U8" s="140"/>
      <c r="V8" s="140"/>
      <c r="W8" s="140"/>
      <c r="AI8" s="141"/>
      <c r="AU8" s="141"/>
      <c r="BG8" s="141"/>
      <c r="BH8" s="18"/>
      <c r="BI8"/>
    </row>
    <row r="9" spans="1:63" s="90" customFormat="1" ht="19" x14ac:dyDescent="0.25">
      <c r="A9" s="145" t="s">
        <v>222</v>
      </c>
      <c r="B9" s="146"/>
      <c r="C9" s="146"/>
      <c r="D9" s="147"/>
      <c r="E9" s="146"/>
      <c r="F9" s="146"/>
      <c r="G9" s="146"/>
      <c r="H9" s="146"/>
      <c r="I9" s="146"/>
      <c r="J9" s="146"/>
      <c r="K9" s="148"/>
      <c r="BH9" s="18"/>
    </row>
    <row r="10" spans="1:63" s="90" customFormat="1" ht="20" thickBot="1" x14ac:dyDescent="0.3">
      <c r="A10" s="154" t="s">
        <v>223</v>
      </c>
      <c r="B10" s="149"/>
      <c r="C10" s="149"/>
      <c r="D10" s="150"/>
      <c r="E10" s="149"/>
      <c r="F10" s="149"/>
      <c r="G10" s="149"/>
      <c r="H10" s="149"/>
      <c r="I10" s="149"/>
      <c r="J10" s="149"/>
      <c r="K10" s="151"/>
      <c r="BH10" s="20"/>
    </row>
    <row r="11" spans="1:63" x14ac:dyDescent="0.2">
      <c r="A11" s="143"/>
      <c r="B11" s="143"/>
      <c r="C11" s="143"/>
      <c r="D11" s="144"/>
      <c r="E11" s="143"/>
      <c r="F11" s="143"/>
      <c r="G11" s="143"/>
      <c r="H11" s="143"/>
      <c r="I11" s="143"/>
      <c r="J11" s="143"/>
      <c r="K11" s="143"/>
      <c r="W11" s="141"/>
      <c r="AI11" s="141"/>
      <c r="AU11" s="141"/>
      <c r="BG11" s="141"/>
      <c r="BI11"/>
    </row>
    <row r="12" spans="1:63" ht="31.5" customHeight="1" thickBot="1" x14ac:dyDescent="0.25">
      <c r="A12" s="272" t="s">
        <v>196</v>
      </c>
      <c r="B12" s="272"/>
      <c r="C12" s="272"/>
      <c r="D12" s="272"/>
      <c r="E12" s="272"/>
      <c r="F12" s="272"/>
      <c r="G12" s="272"/>
      <c r="H12" s="272"/>
      <c r="I12" s="272"/>
      <c r="J12" s="272"/>
      <c r="K12" s="272"/>
      <c r="M12" s="272" t="s">
        <v>197</v>
      </c>
      <c r="N12" s="272"/>
      <c r="O12" s="272"/>
      <c r="P12" s="272"/>
      <c r="Q12" s="272"/>
      <c r="R12" s="272"/>
      <c r="S12" s="272"/>
      <c r="T12" s="272"/>
      <c r="U12" s="272"/>
      <c r="V12" s="272"/>
      <c r="W12" s="272"/>
      <c r="Y12" s="272" t="s">
        <v>198</v>
      </c>
      <c r="Z12" s="272"/>
      <c r="AA12" s="272"/>
      <c r="AB12" s="272"/>
      <c r="AC12" s="272"/>
      <c r="AD12" s="272"/>
      <c r="AE12" s="272"/>
      <c r="AF12" s="272"/>
      <c r="AG12" s="272"/>
      <c r="AH12" s="272"/>
      <c r="AI12" s="272"/>
      <c r="AK12" s="272" t="s">
        <v>199</v>
      </c>
      <c r="AL12" s="272"/>
      <c r="AM12" s="272"/>
      <c r="AN12" s="272"/>
      <c r="AO12" s="272"/>
      <c r="AP12" s="272"/>
      <c r="AQ12" s="272"/>
      <c r="AR12" s="272"/>
      <c r="AS12" s="272"/>
      <c r="AT12" s="272"/>
      <c r="AU12" s="272"/>
      <c r="AW12" s="272" t="s">
        <v>200</v>
      </c>
      <c r="AX12" s="272"/>
      <c r="AY12" s="272"/>
      <c r="AZ12" s="272"/>
      <c r="BA12" s="272"/>
      <c r="BB12" s="272"/>
      <c r="BC12" s="272"/>
      <c r="BD12" s="272"/>
      <c r="BE12" s="272"/>
      <c r="BF12" s="272"/>
      <c r="BG12" s="272"/>
    </row>
    <row r="13" spans="1:63" s="18" customFormat="1" ht="15.75" customHeight="1" thickTop="1" x14ac:dyDescent="0.2">
      <c r="A13" s="339" t="s">
        <v>23</v>
      </c>
      <c r="B13" s="340"/>
      <c r="C13" s="343" t="s">
        <v>92</v>
      </c>
      <c r="D13" s="336" t="s">
        <v>161</v>
      </c>
      <c r="E13" s="336"/>
      <c r="F13" s="336"/>
      <c r="G13" s="336"/>
      <c r="H13" s="336"/>
      <c r="I13" s="337"/>
      <c r="J13" s="337"/>
      <c r="K13" s="338"/>
      <c r="M13" s="339" t="s">
        <v>23</v>
      </c>
      <c r="N13" s="340"/>
      <c r="O13" s="343" t="s">
        <v>165</v>
      </c>
      <c r="P13" s="336" t="s">
        <v>161</v>
      </c>
      <c r="Q13" s="336"/>
      <c r="R13" s="336"/>
      <c r="S13" s="336"/>
      <c r="T13" s="336"/>
      <c r="U13" s="337"/>
      <c r="V13" s="337"/>
      <c r="W13" s="338"/>
      <c r="Y13" s="339" t="s">
        <v>23</v>
      </c>
      <c r="Z13" s="340"/>
      <c r="AA13" s="343" t="s">
        <v>164</v>
      </c>
      <c r="AB13" s="336" t="s">
        <v>161</v>
      </c>
      <c r="AC13" s="336"/>
      <c r="AD13" s="336"/>
      <c r="AE13" s="336"/>
      <c r="AF13" s="336"/>
      <c r="AG13" s="337"/>
      <c r="AH13" s="337"/>
      <c r="AI13" s="338"/>
      <c r="AK13" s="339" t="s">
        <v>23</v>
      </c>
      <c r="AL13" s="340"/>
      <c r="AM13" s="343" t="s">
        <v>163</v>
      </c>
      <c r="AN13" s="336" t="s">
        <v>161</v>
      </c>
      <c r="AO13" s="336"/>
      <c r="AP13" s="336"/>
      <c r="AQ13" s="336"/>
      <c r="AR13" s="336"/>
      <c r="AS13" s="337"/>
      <c r="AT13" s="337"/>
      <c r="AU13" s="338"/>
      <c r="AW13" s="274" t="s">
        <v>23</v>
      </c>
      <c r="AX13" s="275"/>
      <c r="AY13" s="278" t="s">
        <v>162</v>
      </c>
      <c r="AZ13" s="281" t="s">
        <v>161</v>
      </c>
      <c r="BA13" s="281"/>
      <c r="BB13" s="281"/>
      <c r="BC13" s="281"/>
      <c r="BD13" s="281"/>
      <c r="BE13" s="282"/>
      <c r="BF13" s="282"/>
      <c r="BG13" s="283"/>
      <c r="BH13"/>
      <c r="BI13" s="65" t="s">
        <v>113</v>
      </c>
      <c r="BK13" s="72" t="s">
        <v>114</v>
      </c>
    </row>
    <row r="14" spans="1:63" s="18" customFormat="1" ht="15" customHeight="1" x14ac:dyDescent="0.2">
      <c r="A14" s="341"/>
      <c r="B14" s="342"/>
      <c r="C14" s="344"/>
      <c r="D14" s="333" t="s">
        <v>160</v>
      </c>
      <c r="E14" s="333"/>
      <c r="F14" s="333"/>
      <c r="G14" s="333"/>
      <c r="H14" s="334" t="s">
        <v>89</v>
      </c>
      <c r="I14" s="335"/>
      <c r="J14" s="326" t="s">
        <v>221</v>
      </c>
      <c r="K14" s="328" t="s">
        <v>21</v>
      </c>
      <c r="M14" s="341"/>
      <c r="N14" s="342"/>
      <c r="O14" s="344"/>
      <c r="P14" s="333" t="s">
        <v>160</v>
      </c>
      <c r="Q14" s="333"/>
      <c r="R14" s="333"/>
      <c r="S14" s="333"/>
      <c r="T14" s="334" t="s">
        <v>89</v>
      </c>
      <c r="U14" s="335"/>
      <c r="V14" s="326" t="s">
        <v>221</v>
      </c>
      <c r="W14" s="328" t="s">
        <v>21</v>
      </c>
      <c r="Y14" s="341"/>
      <c r="Z14" s="342"/>
      <c r="AA14" s="344"/>
      <c r="AB14" s="333" t="s">
        <v>160</v>
      </c>
      <c r="AC14" s="333"/>
      <c r="AD14" s="333"/>
      <c r="AE14" s="333"/>
      <c r="AF14" s="334" t="s">
        <v>89</v>
      </c>
      <c r="AG14" s="335"/>
      <c r="AH14" s="326" t="s">
        <v>221</v>
      </c>
      <c r="AI14" s="328" t="s">
        <v>21</v>
      </c>
      <c r="AK14" s="341"/>
      <c r="AL14" s="342"/>
      <c r="AM14" s="344"/>
      <c r="AN14" s="333" t="s">
        <v>160</v>
      </c>
      <c r="AO14" s="333"/>
      <c r="AP14" s="333"/>
      <c r="AQ14" s="333"/>
      <c r="AR14" s="334" t="s">
        <v>89</v>
      </c>
      <c r="AS14" s="335"/>
      <c r="AT14" s="326" t="s">
        <v>221</v>
      </c>
      <c r="AU14" s="328" t="s">
        <v>21</v>
      </c>
      <c r="AW14" s="276"/>
      <c r="AX14" s="277"/>
      <c r="AY14" s="279"/>
      <c r="AZ14" s="273" t="s">
        <v>160</v>
      </c>
      <c r="BA14" s="273"/>
      <c r="BB14" s="273"/>
      <c r="BC14" s="273"/>
      <c r="BD14" s="284" t="s">
        <v>89</v>
      </c>
      <c r="BE14" s="285"/>
      <c r="BF14" s="268" t="s">
        <v>221</v>
      </c>
      <c r="BG14" s="331" t="s">
        <v>21</v>
      </c>
      <c r="BH14"/>
      <c r="BI14" s="262" t="s">
        <v>167</v>
      </c>
      <c r="BK14" s="270" t="s">
        <v>115</v>
      </c>
    </row>
    <row r="15" spans="1:63" s="18" customFormat="1" ht="15" customHeight="1" x14ac:dyDescent="0.2">
      <c r="A15" s="341"/>
      <c r="B15" s="342"/>
      <c r="C15" s="345"/>
      <c r="D15" s="333" t="s">
        <v>3</v>
      </c>
      <c r="E15" s="333"/>
      <c r="F15" s="333"/>
      <c r="G15" s="333"/>
      <c r="H15" s="330" t="s">
        <v>104</v>
      </c>
      <c r="I15" s="330" t="s">
        <v>105</v>
      </c>
      <c r="J15" s="327"/>
      <c r="K15" s="329"/>
      <c r="M15" s="341"/>
      <c r="N15" s="342"/>
      <c r="O15" s="345"/>
      <c r="P15" s="333" t="s">
        <v>3</v>
      </c>
      <c r="Q15" s="333"/>
      <c r="R15" s="333"/>
      <c r="S15" s="333"/>
      <c r="T15" s="330" t="s">
        <v>104</v>
      </c>
      <c r="U15" s="330" t="s">
        <v>105</v>
      </c>
      <c r="V15" s="327"/>
      <c r="W15" s="329"/>
      <c r="Y15" s="341"/>
      <c r="Z15" s="342"/>
      <c r="AA15" s="345"/>
      <c r="AB15" s="333" t="s">
        <v>3</v>
      </c>
      <c r="AC15" s="333"/>
      <c r="AD15" s="333"/>
      <c r="AE15" s="333"/>
      <c r="AF15" s="330" t="s">
        <v>104</v>
      </c>
      <c r="AG15" s="330" t="s">
        <v>105</v>
      </c>
      <c r="AH15" s="327"/>
      <c r="AI15" s="329"/>
      <c r="AK15" s="341"/>
      <c r="AL15" s="342"/>
      <c r="AM15" s="345"/>
      <c r="AN15" s="333" t="s">
        <v>3</v>
      </c>
      <c r="AO15" s="333"/>
      <c r="AP15" s="333"/>
      <c r="AQ15" s="333"/>
      <c r="AR15" s="330" t="s">
        <v>104</v>
      </c>
      <c r="AS15" s="330" t="s">
        <v>105</v>
      </c>
      <c r="AT15" s="327"/>
      <c r="AU15" s="329"/>
      <c r="AW15" s="276"/>
      <c r="AX15" s="277"/>
      <c r="AY15" s="280"/>
      <c r="AZ15" s="273" t="s">
        <v>3</v>
      </c>
      <c r="BA15" s="273"/>
      <c r="BB15" s="273"/>
      <c r="BC15" s="273"/>
      <c r="BD15" s="267" t="s">
        <v>104</v>
      </c>
      <c r="BE15" s="267" t="s">
        <v>105</v>
      </c>
      <c r="BF15" s="269"/>
      <c r="BG15" s="332"/>
      <c r="BH15"/>
      <c r="BI15" s="262"/>
      <c r="BK15" s="270"/>
    </row>
    <row r="16" spans="1:63" s="20" customFormat="1" ht="17" thickBot="1" x14ac:dyDescent="0.25">
      <c r="A16" s="341"/>
      <c r="B16" s="342"/>
      <c r="C16" s="187" t="s">
        <v>3</v>
      </c>
      <c r="D16" s="188" t="s">
        <v>100</v>
      </c>
      <c r="E16" s="188" t="s">
        <v>101</v>
      </c>
      <c r="F16" s="188" t="s">
        <v>102</v>
      </c>
      <c r="G16" s="188" t="s">
        <v>103</v>
      </c>
      <c r="H16" s="330"/>
      <c r="I16" s="330"/>
      <c r="J16" s="327"/>
      <c r="K16" s="329"/>
      <c r="M16" s="341"/>
      <c r="N16" s="342"/>
      <c r="O16" s="187" t="s">
        <v>3</v>
      </c>
      <c r="P16" s="188" t="s">
        <v>100</v>
      </c>
      <c r="Q16" s="188" t="s">
        <v>101</v>
      </c>
      <c r="R16" s="188" t="s">
        <v>102</v>
      </c>
      <c r="S16" s="188" t="s">
        <v>103</v>
      </c>
      <c r="T16" s="330"/>
      <c r="U16" s="330"/>
      <c r="V16" s="327"/>
      <c r="W16" s="329"/>
      <c r="Y16" s="341"/>
      <c r="Z16" s="342"/>
      <c r="AA16" s="187" t="s">
        <v>3</v>
      </c>
      <c r="AB16" s="188" t="s">
        <v>100</v>
      </c>
      <c r="AC16" s="188" t="s">
        <v>101</v>
      </c>
      <c r="AD16" s="188" t="s">
        <v>102</v>
      </c>
      <c r="AE16" s="188" t="s">
        <v>103</v>
      </c>
      <c r="AF16" s="330"/>
      <c r="AG16" s="330"/>
      <c r="AH16" s="327"/>
      <c r="AI16" s="329"/>
      <c r="AK16" s="341"/>
      <c r="AL16" s="342"/>
      <c r="AM16" s="187" t="s">
        <v>3</v>
      </c>
      <c r="AN16" s="188" t="s">
        <v>100</v>
      </c>
      <c r="AO16" s="188" t="s">
        <v>101</v>
      </c>
      <c r="AP16" s="188" t="s">
        <v>102</v>
      </c>
      <c r="AQ16" s="188" t="s">
        <v>103</v>
      </c>
      <c r="AR16" s="330"/>
      <c r="AS16" s="330"/>
      <c r="AT16" s="327"/>
      <c r="AU16" s="329"/>
      <c r="AW16" s="276"/>
      <c r="AX16" s="277"/>
      <c r="AY16" s="19" t="s">
        <v>3</v>
      </c>
      <c r="AZ16" s="33" t="s">
        <v>100</v>
      </c>
      <c r="BA16" s="33" t="s">
        <v>101</v>
      </c>
      <c r="BB16" s="33" t="s">
        <v>102</v>
      </c>
      <c r="BC16" s="33" t="s">
        <v>103</v>
      </c>
      <c r="BD16" s="267"/>
      <c r="BE16" s="267"/>
      <c r="BF16" s="269"/>
      <c r="BG16" s="332"/>
      <c r="BH16"/>
      <c r="BI16" s="263"/>
      <c r="BK16" s="270"/>
    </row>
    <row r="17" spans="1:63" ht="16" thickBot="1" x14ac:dyDescent="0.25">
      <c r="A17" s="189" t="s">
        <v>159</v>
      </c>
      <c r="B17" s="190"/>
      <c r="C17" s="177"/>
      <c r="D17" s="191"/>
      <c r="E17" s="192"/>
      <c r="F17" s="192"/>
      <c r="G17" s="192"/>
      <c r="H17" s="192"/>
      <c r="I17" s="192"/>
      <c r="J17" s="192"/>
      <c r="K17" s="193"/>
      <c r="M17" s="189" t="s">
        <v>159</v>
      </c>
      <c r="N17" s="190"/>
      <c r="O17" s="177"/>
      <c r="P17" s="191"/>
      <c r="Q17" s="192"/>
      <c r="R17" s="192"/>
      <c r="S17" s="192"/>
      <c r="T17" s="192"/>
      <c r="U17" s="192"/>
      <c r="V17" s="192"/>
      <c r="W17" s="193"/>
      <c r="Y17" s="189" t="s">
        <v>159</v>
      </c>
      <c r="Z17" s="190"/>
      <c r="AA17" s="177"/>
      <c r="AB17" s="191"/>
      <c r="AC17" s="192"/>
      <c r="AD17" s="192"/>
      <c r="AE17" s="192"/>
      <c r="AF17" s="192"/>
      <c r="AG17" s="192"/>
      <c r="AH17" s="192"/>
      <c r="AI17" s="193"/>
      <c r="AK17" s="189" t="s">
        <v>159</v>
      </c>
      <c r="AL17" s="190"/>
      <c r="AM17" s="177"/>
      <c r="AN17" s="191"/>
      <c r="AO17" s="192"/>
      <c r="AP17" s="192"/>
      <c r="AQ17" s="192"/>
      <c r="AR17" s="192"/>
      <c r="AS17" s="192"/>
      <c r="AT17" s="192"/>
      <c r="AU17" s="193"/>
      <c r="AW17" s="21" t="s">
        <v>159</v>
      </c>
      <c r="AX17" s="22"/>
      <c r="AY17" s="23"/>
      <c r="AZ17" s="24"/>
      <c r="BA17" s="25"/>
      <c r="BB17" s="25"/>
      <c r="BC17" s="25"/>
      <c r="BD17" s="25"/>
      <c r="BE17" s="25"/>
      <c r="BF17" s="25"/>
      <c r="BG17" s="32"/>
      <c r="BI17" s="165"/>
      <c r="BK17" s="271"/>
    </row>
    <row r="18" spans="1:63" x14ac:dyDescent="0.2">
      <c r="A18" s="183" t="s">
        <v>97</v>
      </c>
      <c r="B18" s="179"/>
      <c r="C18" s="172" t="s">
        <v>3</v>
      </c>
      <c r="D18" s="180" t="s">
        <v>15</v>
      </c>
      <c r="E18" s="180" t="s">
        <v>16</v>
      </c>
      <c r="F18" s="180" t="s">
        <v>17</v>
      </c>
      <c r="G18" s="180" t="s">
        <v>18</v>
      </c>
      <c r="H18" s="180" t="s">
        <v>20</v>
      </c>
      <c r="I18" s="181" t="s">
        <v>91</v>
      </c>
      <c r="J18" s="181" t="s">
        <v>221</v>
      </c>
      <c r="K18" s="182" t="s">
        <v>21</v>
      </c>
      <c r="M18" s="183" t="s">
        <v>97</v>
      </c>
      <c r="N18" s="179"/>
      <c r="O18" s="172" t="s">
        <v>3</v>
      </c>
      <c r="P18" s="180" t="s">
        <v>15</v>
      </c>
      <c r="Q18" s="180" t="s">
        <v>16</v>
      </c>
      <c r="R18" s="180" t="s">
        <v>17</v>
      </c>
      <c r="S18" s="180" t="s">
        <v>18</v>
      </c>
      <c r="T18" s="180" t="s">
        <v>20</v>
      </c>
      <c r="U18" s="181" t="s">
        <v>91</v>
      </c>
      <c r="V18" s="181" t="s">
        <v>221</v>
      </c>
      <c r="W18" s="182" t="s">
        <v>21</v>
      </c>
      <c r="Y18" s="183" t="s">
        <v>97</v>
      </c>
      <c r="Z18" s="179"/>
      <c r="AA18" s="172" t="s">
        <v>3</v>
      </c>
      <c r="AB18" s="180" t="s">
        <v>15</v>
      </c>
      <c r="AC18" s="180" t="s">
        <v>16</v>
      </c>
      <c r="AD18" s="180" t="s">
        <v>17</v>
      </c>
      <c r="AE18" s="180" t="s">
        <v>18</v>
      </c>
      <c r="AF18" s="180" t="s">
        <v>20</v>
      </c>
      <c r="AG18" s="181" t="s">
        <v>91</v>
      </c>
      <c r="AH18" s="181" t="s">
        <v>221</v>
      </c>
      <c r="AI18" s="182" t="s">
        <v>21</v>
      </c>
      <c r="AK18" s="183" t="s">
        <v>97</v>
      </c>
      <c r="AL18" s="179"/>
      <c r="AM18" s="172" t="s">
        <v>3</v>
      </c>
      <c r="AN18" s="180" t="s">
        <v>15</v>
      </c>
      <c r="AO18" s="180" t="s">
        <v>16</v>
      </c>
      <c r="AP18" s="180" t="s">
        <v>17</v>
      </c>
      <c r="AQ18" s="180" t="s">
        <v>18</v>
      </c>
      <c r="AR18" s="180" t="s">
        <v>20</v>
      </c>
      <c r="AS18" s="181" t="s">
        <v>91</v>
      </c>
      <c r="AT18" s="181" t="s">
        <v>221</v>
      </c>
      <c r="AU18" s="182" t="s">
        <v>21</v>
      </c>
      <c r="AW18" s="183" t="s">
        <v>97</v>
      </c>
      <c r="AX18" s="179"/>
      <c r="AY18" s="172" t="s">
        <v>3</v>
      </c>
      <c r="AZ18" s="180" t="s">
        <v>15</v>
      </c>
      <c r="BA18" s="180" t="s">
        <v>16</v>
      </c>
      <c r="BB18" s="180" t="s">
        <v>17</v>
      </c>
      <c r="BC18" s="180" t="s">
        <v>18</v>
      </c>
      <c r="BD18" s="180" t="s">
        <v>20</v>
      </c>
      <c r="BE18" s="181" t="s">
        <v>91</v>
      </c>
      <c r="BF18" s="181" t="s">
        <v>221</v>
      </c>
      <c r="BG18" s="182" t="s">
        <v>21</v>
      </c>
      <c r="BI18" s="69" t="str" cm="1">
        <f t="array" ref="BI18">IF(OR(SUM(IF(O19:W22&lt;(O24:W27+O29:W32),1,0)),SUM(IF(C19:K22&lt;(C24:K27+C29:K32),1,0)),SUM(IF(AA19:AI22&lt;(AA24:AI27+AA29:AI32),1,0)), SUM(IF(AM19:AU22&lt;(AM24:AU27+AM29:AU32),1,0)), SUM(IF(AY19:BG22&lt;(AY24:BG27+AY29:BG32),1,0))),"!! Check sum by sex for one or more columns/rows","")</f>
        <v/>
      </c>
      <c r="BK18" s="264"/>
    </row>
    <row r="19" spans="1:63" x14ac:dyDescent="0.2">
      <c r="A19" s="194"/>
      <c r="B19" s="195" t="s">
        <v>578</v>
      </c>
      <c r="C19" s="185">
        <f>C20+C21+C22</f>
        <v>0</v>
      </c>
      <c r="D19" s="126">
        <f t="shared" ref="D19:J19" si="0">D20+D21+D22</f>
        <v>0</v>
      </c>
      <c r="E19" s="126">
        <f t="shared" si="0"/>
        <v>0</v>
      </c>
      <c r="F19" s="126">
        <f t="shared" si="0"/>
        <v>0</v>
      </c>
      <c r="G19" s="126">
        <f t="shared" si="0"/>
        <v>0</v>
      </c>
      <c r="H19" s="126">
        <f t="shared" si="0"/>
        <v>0</v>
      </c>
      <c r="I19" s="126">
        <f t="shared" si="0"/>
        <v>0</v>
      </c>
      <c r="J19" s="127">
        <f t="shared" si="0"/>
        <v>0</v>
      </c>
      <c r="K19" s="196">
        <f>C19-SUM(D19:G19,H19:I19,J19)</f>
        <v>0</v>
      </c>
      <c r="M19" s="194"/>
      <c r="N19" s="195" t="s">
        <v>578</v>
      </c>
      <c r="O19" s="185"/>
      <c r="P19" s="126"/>
      <c r="Q19" s="126"/>
      <c r="R19" s="126"/>
      <c r="S19" s="126"/>
      <c r="T19" s="126"/>
      <c r="U19" s="126"/>
      <c r="V19" s="127">
        <f t="shared" ref="V19" si="1">SUM(V20:V22)</f>
        <v>0</v>
      </c>
      <c r="W19" s="196">
        <f>O19-SUM(P19:S19,T19:U19,V19)</f>
        <v>0</v>
      </c>
      <c r="Y19" s="194"/>
      <c r="Z19" s="195" t="s">
        <v>578</v>
      </c>
      <c r="AA19" s="185"/>
      <c r="AB19" s="126"/>
      <c r="AC19" s="126"/>
      <c r="AD19" s="126"/>
      <c r="AE19" s="126"/>
      <c r="AF19" s="126"/>
      <c r="AG19" s="126"/>
      <c r="AH19" s="127">
        <f t="shared" ref="AH19" si="2">SUM(AH20:AH22)</f>
        <v>0</v>
      </c>
      <c r="AI19" s="196">
        <f>AA19-SUM(AB19:AE19,AF19:AG19,AH19)</f>
        <v>0</v>
      </c>
      <c r="AK19" s="194"/>
      <c r="AL19" s="195" t="s">
        <v>578</v>
      </c>
      <c r="AM19" s="185"/>
      <c r="AN19" s="126"/>
      <c r="AO19" s="126"/>
      <c r="AP19" s="126"/>
      <c r="AQ19" s="126"/>
      <c r="AR19" s="126"/>
      <c r="AS19" s="126"/>
      <c r="AT19" s="127">
        <f t="shared" ref="AT19" si="3">SUM(AT20:AT22)</f>
        <v>0</v>
      </c>
      <c r="AU19" s="196">
        <f>AM19-SUM(AN19:AQ19,AR19:AS19,AT19)</f>
        <v>0</v>
      </c>
      <c r="AW19" s="2"/>
      <c r="AX19" s="6" t="s">
        <v>578</v>
      </c>
      <c r="AY19" s="185"/>
      <c r="AZ19" s="126"/>
      <c r="BA19" s="126"/>
      <c r="BB19" s="126"/>
      <c r="BC19" s="126"/>
      <c r="BD19" s="126"/>
      <c r="BE19" s="126"/>
      <c r="BF19" s="127">
        <f t="shared" ref="BF19" si="4">SUM(BF20:BF22)</f>
        <v>0</v>
      </c>
      <c r="BG19" s="123">
        <f>AY19-SUM(AZ19:BC19,BD19:BE19,BF19)</f>
        <v>0</v>
      </c>
      <c r="BI19" s="69" t="str">
        <f>IF(OR(K19&lt;0,W19&lt;0,AI19&lt;0,AU19&lt;0,BG19&lt;0),"!! Total must be &gt;= sum by situation",IF(OR(C19&lt;SUM(O19,AA19,AM19,AY19),D19&lt;SUM(P19,AB19,AN19,AZ19),E19&lt;SUM(Q19,AC19,AO19,BA19),F19&lt;SUM(R19,AD19,AP19,BB19),G19&lt;SUM(S19,AE19,AQ19,BC19),H19&lt;SUM(T19,AF19,AR19,BD19),I19&lt;SUM(U19,AG19,AS19,BE19),J19&lt;SUM(V19,AH19,AT19,BF19)),"!! Values in FU1 must be &gt;= sum of values in FU2 - FU5",""))</f>
        <v/>
      </c>
      <c r="BK19" s="265"/>
    </row>
    <row r="20" spans="1:63" x14ac:dyDescent="0.2">
      <c r="A20" s="194"/>
      <c r="B20" s="195" t="s">
        <v>6</v>
      </c>
      <c r="C20" s="185"/>
      <c r="D20" s="126"/>
      <c r="E20" s="126"/>
      <c r="F20" s="126"/>
      <c r="G20" s="126"/>
      <c r="H20" s="126"/>
      <c r="I20" s="126"/>
      <c r="J20" s="127">
        <v>0</v>
      </c>
      <c r="K20" s="196">
        <f t="shared" ref="K20:K22" si="5">C20-SUM(D20:G20,H20:I20,J20)</f>
        <v>0</v>
      </c>
      <c r="M20" s="194"/>
      <c r="N20" s="195" t="s">
        <v>6</v>
      </c>
      <c r="O20" s="185"/>
      <c r="P20" s="126"/>
      <c r="Q20" s="126"/>
      <c r="R20" s="126"/>
      <c r="S20" s="126"/>
      <c r="T20" s="126"/>
      <c r="U20" s="126"/>
      <c r="V20" s="127">
        <v>0</v>
      </c>
      <c r="W20" s="196">
        <f t="shared" ref="W20:W22" si="6">O20-SUM(P20:S20,T20:U20,V20)</f>
        <v>0</v>
      </c>
      <c r="Y20" s="194"/>
      <c r="Z20" s="195" t="s">
        <v>6</v>
      </c>
      <c r="AA20" s="185"/>
      <c r="AB20" s="126"/>
      <c r="AC20" s="126"/>
      <c r="AD20" s="126"/>
      <c r="AE20" s="126"/>
      <c r="AF20" s="126"/>
      <c r="AG20" s="126"/>
      <c r="AH20" s="127">
        <v>0</v>
      </c>
      <c r="AI20" s="196">
        <f t="shared" ref="AI20:AI22" si="7">AA20-SUM(AB20:AE20,AF20:AG20,AH20)</f>
        <v>0</v>
      </c>
      <c r="AK20" s="194"/>
      <c r="AL20" s="195" t="s">
        <v>6</v>
      </c>
      <c r="AM20" s="185"/>
      <c r="AN20" s="126"/>
      <c r="AO20" s="126"/>
      <c r="AP20" s="126"/>
      <c r="AQ20" s="126"/>
      <c r="AR20" s="126"/>
      <c r="AS20" s="126"/>
      <c r="AT20" s="127">
        <v>0</v>
      </c>
      <c r="AU20" s="196">
        <f t="shared" ref="AU20:AU22" si="8">AM20-SUM(AN20:AQ20,AR20:AS20,AT20)</f>
        <v>0</v>
      </c>
      <c r="AW20" s="2"/>
      <c r="AX20" s="6" t="s">
        <v>6</v>
      </c>
      <c r="AY20" s="185"/>
      <c r="AZ20" s="126"/>
      <c r="BA20" s="126"/>
      <c r="BB20" s="126"/>
      <c r="BC20" s="126"/>
      <c r="BD20" s="126"/>
      <c r="BE20" s="126"/>
      <c r="BF20" s="127">
        <v>0</v>
      </c>
      <c r="BG20" s="123">
        <f>AY20-SUM(AZ20:BC20,BD20:BE20,BF20)</f>
        <v>0</v>
      </c>
      <c r="BI20" s="69" t="str">
        <f>IF(OR(K20&lt;0,W20&lt;0,AI20&lt;0,AU20&lt;0,BG20&lt;0),"!! Total must be &gt;= sum by situation",IF(OR(C20&lt;SUM(O20,AA20,AM20,AY20),D20&lt;SUM(P20,AB20,AN20,AZ20),E20&lt;SUM(Q20,AC20,AO20,BA20),F20&lt;SUM(R20,AD20,AP20,BB20),G20&lt;SUM(S20,AE20,AQ20,BC20),H20&lt;SUM(T20,AF20,AR20,BD20),I20&lt;SUM(U20,AG20,AS20,BE20),J20&lt;SUM(V20,AH20,AT20,BF20)),"!! Values in FU1 must be &gt;= sum of values in FU2 - FU5",""))</f>
        <v/>
      </c>
      <c r="BK20" s="265"/>
    </row>
    <row r="21" spans="1:63" x14ac:dyDescent="0.2">
      <c r="A21" s="194"/>
      <c r="B21" s="195" t="s">
        <v>7</v>
      </c>
      <c r="C21" s="185"/>
      <c r="D21" s="126"/>
      <c r="E21" s="126"/>
      <c r="F21" s="126"/>
      <c r="G21" s="126"/>
      <c r="H21" s="126"/>
      <c r="I21" s="126"/>
      <c r="J21" s="127">
        <v>0</v>
      </c>
      <c r="K21" s="196">
        <f t="shared" si="5"/>
        <v>0</v>
      </c>
      <c r="M21" s="194"/>
      <c r="N21" s="195" t="s">
        <v>7</v>
      </c>
      <c r="O21" s="185"/>
      <c r="P21" s="126"/>
      <c r="Q21" s="126"/>
      <c r="R21" s="126"/>
      <c r="S21" s="126"/>
      <c r="T21" s="126"/>
      <c r="U21" s="126"/>
      <c r="V21" s="127">
        <v>0</v>
      </c>
      <c r="W21" s="196">
        <f t="shared" si="6"/>
        <v>0</v>
      </c>
      <c r="Y21" s="194"/>
      <c r="Z21" s="195" t="s">
        <v>7</v>
      </c>
      <c r="AA21" s="185"/>
      <c r="AB21" s="126"/>
      <c r="AC21" s="126"/>
      <c r="AD21" s="126"/>
      <c r="AE21" s="126"/>
      <c r="AF21" s="126"/>
      <c r="AG21" s="126"/>
      <c r="AH21" s="127">
        <v>0</v>
      </c>
      <c r="AI21" s="196">
        <f t="shared" si="7"/>
        <v>0</v>
      </c>
      <c r="AK21" s="194"/>
      <c r="AL21" s="195" t="s">
        <v>7</v>
      </c>
      <c r="AM21" s="185"/>
      <c r="AN21" s="126"/>
      <c r="AO21" s="126"/>
      <c r="AP21" s="126"/>
      <c r="AQ21" s="126"/>
      <c r="AR21" s="126"/>
      <c r="AS21" s="126"/>
      <c r="AT21" s="127">
        <v>0</v>
      </c>
      <c r="AU21" s="196">
        <f t="shared" si="8"/>
        <v>0</v>
      </c>
      <c r="AW21" s="2"/>
      <c r="AX21" s="6" t="s">
        <v>7</v>
      </c>
      <c r="AY21" s="185"/>
      <c r="AZ21" s="126"/>
      <c r="BA21" s="126"/>
      <c r="BB21" s="126"/>
      <c r="BC21" s="126"/>
      <c r="BD21" s="126"/>
      <c r="BE21" s="126"/>
      <c r="BF21" s="127">
        <v>0</v>
      </c>
      <c r="BG21" s="123">
        <f>AY21-SUM(AZ21:BC21,BD21:BE21,BF21)</f>
        <v>0</v>
      </c>
      <c r="BI21" s="69" t="str">
        <f t="shared" ref="BI21:BI22" si="9">IF(OR(K21&lt;0,W21&lt;0,AI21&lt;0,AU21&lt;0,BG21&lt;0),"!! Total must be &gt;= sum by situation",IF(OR(C21&lt;SUM(O21,AA21,AM21,AY21),D21&lt;SUM(P21,AB21,AN21,AZ21),E21&lt;SUM(Q21,AC21,AO21,BA21),F21&lt;SUM(R21,AD21,AP21,BB21),G21&lt;SUM(S21,AE21,AQ21,BC21),H21&lt;SUM(T21,AF21,AR21,BD21),I21&lt;SUM(U21,AG21,AS21,BE21),J21&lt;SUM(V21,AH21,AT21,BF21)),"!! Values in FU1 must be &gt;= sum of values in FU2 - FU5",""))</f>
        <v/>
      </c>
      <c r="BK21" s="265"/>
    </row>
    <row r="22" spans="1:63" x14ac:dyDescent="0.2">
      <c r="A22" s="194"/>
      <c r="B22" s="195" t="s">
        <v>577</v>
      </c>
      <c r="C22" s="185"/>
      <c r="D22" s="126"/>
      <c r="E22" s="126"/>
      <c r="F22" s="126"/>
      <c r="G22" s="126"/>
      <c r="H22" s="126"/>
      <c r="I22" s="126"/>
      <c r="J22" s="127">
        <v>0</v>
      </c>
      <c r="K22" s="196">
        <f t="shared" si="5"/>
        <v>0</v>
      </c>
      <c r="M22" s="194"/>
      <c r="N22" s="195" t="s">
        <v>577</v>
      </c>
      <c r="O22" s="185"/>
      <c r="P22" s="126"/>
      <c r="Q22" s="126"/>
      <c r="R22" s="126"/>
      <c r="S22" s="126"/>
      <c r="T22" s="126"/>
      <c r="U22" s="126"/>
      <c r="V22" s="127">
        <v>0</v>
      </c>
      <c r="W22" s="196">
        <f t="shared" si="6"/>
        <v>0</v>
      </c>
      <c r="Y22" s="194"/>
      <c r="Z22" s="195" t="s">
        <v>577</v>
      </c>
      <c r="AA22" s="185"/>
      <c r="AB22" s="126"/>
      <c r="AC22" s="126"/>
      <c r="AD22" s="126"/>
      <c r="AE22" s="126"/>
      <c r="AF22" s="126"/>
      <c r="AG22" s="126"/>
      <c r="AH22" s="127">
        <v>0</v>
      </c>
      <c r="AI22" s="196">
        <f t="shared" si="7"/>
        <v>0</v>
      </c>
      <c r="AK22" s="194"/>
      <c r="AL22" s="195" t="s">
        <v>577</v>
      </c>
      <c r="AM22" s="185"/>
      <c r="AN22" s="126"/>
      <c r="AO22" s="126"/>
      <c r="AP22" s="126"/>
      <c r="AQ22" s="126"/>
      <c r="AR22" s="126"/>
      <c r="AS22" s="126"/>
      <c r="AT22" s="127">
        <v>0</v>
      </c>
      <c r="AU22" s="196">
        <f t="shared" si="8"/>
        <v>0</v>
      </c>
      <c r="AW22" s="2"/>
      <c r="AX22" s="6" t="s">
        <v>577</v>
      </c>
      <c r="AY22" s="185"/>
      <c r="AZ22" s="126"/>
      <c r="BA22" s="126"/>
      <c r="BB22" s="126"/>
      <c r="BC22" s="126"/>
      <c r="BD22" s="126"/>
      <c r="BE22" s="126"/>
      <c r="BF22" s="127">
        <v>0</v>
      </c>
      <c r="BG22" s="123">
        <f>AY22-SUM(AZ22:BC22,BD22:BE22,BF22)</f>
        <v>0</v>
      </c>
      <c r="BI22" s="69" t="str">
        <f t="shared" si="9"/>
        <v/>
      </c>
      <c r="BK22" s="265"/>
    </row>
    <row r="23" spans="1:63" x14ac:dyDescent="0.2">
      <c r="A23" s="183" t="s">
        <v>4</v>
      </c>
      <c r="B23" s="179"/>
      <c r="C23" s="172" t="str">
        <f>C$18</f>
        <v>Total</v>
      </c>
      <c r="D23" s="180" t="str">
        <f>D$18</f>
        <v>Employment</v>
      </c>
      <c r="E23" s="180" t="str">
        <f t="shared" ref="E23:J23" si="10">E$18</f>
        <v>Education</v>
      </c>
      <c r="F23" s="180" t="str">
        <f t="shared" si="10"/>
        <v>Apprenticeship</v>
      </c>
      <c r="G23" s="180" t="str">
        <f t="shared" si="10"/>
        <v>Traineeship</v>
      </c>
      <c r="H23" s="180" t="str">
        <f t="shared" si="10"/>
        <v>Unemployment</v>
      </c>
      <c r="I23" s="180" t="str">
        <f t="shared" si="10"/>
        <v>Inactivity</v>
      </c>
      <c r="J23" s="180" t="str">
        <f t="shared" si="10"/>
        <v>Not applicable</v>
      </c>
      <c r="K23" s="182" t="str">
        <f t="shared" ref="K23" si="11">K$18</f>
        <v>Unknown</v>
      </c>
      <c r="M23" s="183" t="s">
        <v>4</v>
      </c>
      <c r="N23" s="179"/>
      <c r="O23" s="172" t="str">
        <f>O$18</f>
        <v>Total</v>
      </c>
      <c r="P23" s="180" t="str">
        <f>P$18</f>
        <v>Employment</v>
      </c>
      <c r="Q23" s="180" t="str">
        <f t="shared" ref="Q23:V23" si="12">Q$18</f>
        <v>Education</v>
      </c>
      <c r="R23" s="180" t="str">
        <f t="shared" si="12"/>
        <v>Apprenticeship</v>
      </c>
      <c r="S23" s="180" t="str">
        <f t="shared" si="12"/>
        <v>Traineeship</v>
      </c>
      <c r="T23" s="180" t="str">
        <f t="shared" si="12"/>
        <v>Unemployment</v>
      </c>
      <c r="U23" s="180" t="str">
        <f t="shared" si="12"/>
        <v>Inactivity</v>
      </c>
      <c r="V23" s="180" t="str">
        <f t="shared" si="12"/>
        <v>Not applicable</v>
      </c>
      <c r="W23" s="182" t="str">
        <f t="shared" ref="W23" si="13">W$18</f>
        <v>Unknown</v>
      </c>
      <c r="Y23" s="183" t="s">
        <v>4</v>
      </c>
      <c r="Z23" s="179"/>
      <c r="AA23" s="172" t="str">
        <f>AA$18</f>
        <v>Total</v>
      </c>
      <c r="AB23" s="180" t="str">
        <f>AB$18</f>
        <v>Employment</v>
      </c>
      <c r="AC23" s="180" t="str">
        <f t="shared" ref="AC23:AH23" si="14">AC$18</f>
        <v>Education</v>
      </c>
      <c r="AD23" s="180" t="str">
        <f t="shared" si="14"/>
        <v>Apprenticeship</v>
      </c>
      <c r="AE23" s="180" t="str">
        <f t="shared" si="14"/>
        <v>Traineeship</v>
      </c>
      <c r="AF23" s="180" t="str">
        <f t="shared" si="14"/>
        <v>Unemployment</v>
      </c>
      <c r="AG23" s="180" t="str">
        <f t="shared" si="14"/>
        <v>Inactivity</v>
      </c>
      <c r="AH23" s="180" t="str">
        <f t="shared" si="14"/>
        <v>Not applicable</v>
      </c>
      <c r="AI23" s="182" t="str">
        <f t="shared" ref="AI23" si="15">AI$18</f>
        <v>Unknown</v>
      </c>
      <c r="AK23" s="183" t="s">
        <v>4</v>
      </c>
      <c r="AL23" s="179"/>
      <c r="AM23" s="172" t="str">
        <f>AM$18</f>
        <v>Total</v>
      </c>
      <c r="AN23" s="180" t="str">
        <f>AN$18</f>
        <v>Employment</v>
      </c>
      <c r="AO23" s="180" t="str">
        <f t="shared" ref="AO23:AT23" si="16">AO$18</f>
        <v>Education</v>
      </c>
      <c r="AP23" s="180" t="str">
        <f t="shared" si="16"/>
        <v>Apprenticeship</v>
      </c>
      <c r="AQ23" s="180" t="str">
        <f t="shared" si="16"/>
        <v>Traineeship</v>
      </c>
      <c r="AR23" s="180" t="str">
        <f t="shared" si="16"/>
        <v>Unemployment</v>
      </c>
      <c r="AS23" s="180" t="str">
        <f t="shared" si="16"/>
        <v>Inactivity</v>
      </c>
      <c r="AT23" s="180" t="str">
        <f t="shared" si="16"/>
        <v>Not applicable</v>
      </c>
      <c r="AU23" s="182" t="str">
        <f t="shared" ref="AU23" si="17">AU$18</f>
        <v>Unknown</v>
      </c>
      <c r="AW23" s="183" t="s">
        <v>4</v>
      </c>
      <c r="AX23" s="179"/>
      <c r="AY23" s="172" t="str">
        <f>AY$18</f>
        <v>Total</v>
      </c>
      <c r="AZ23" s="180" t="str">
        <f>AZ$18</f>
        <v>Employment</v>
      </c>
      <c r="BA23" s="180" t="str">
        <f t="shared" ref="BA23:BF23" si="18">BA$18</f>
        <v>Education</v>
      </c>
      <c r="BB23" s="180" t="str">
        <f t="shared" si="18"/>
        <v>Apprenticeship</v>
      </c>
      <c r="BC23" s="180" t="str">
        <f t="shared" si="18"/>
        <v>Traineeship</v>
      </c>
      <c r="BD23" s="180" t="str">
        <f t="shared" si="18"/>
        <v>Unemployment</v>
      </c>
      <c r="BE23" s="180" t="str">
        <f t="shared" si="18"/>
        <v>Inactivity</v>
      </c>
      <c r="BF23" s="180" t="str">
        <f t="shared" si="18"/>
        <v>Not applicable</v>
      </c>
      <c r="BG23" s="182" t="str">
        <f t="shared" ref="BG23" si="19">BG$18</f>
        <v>Unknown</v>
      </c>
      <c r="BI23" s="69"/>
      <c r="BK23" s="265"/>
    </row>
    <row r="24" spans="1:63" x14ac:dyDescent="0.2">
      <c r="A24" s="194"/>
      <c r="B24" s="195" t="s">
        <v>578</v>
      </c>
      <c r="C24" s="185"/>
      <c r="D24" s="126"/>
      <c r="E24" s="126"/>
      <c r="F24" s="126"/>
      <c r="G24" s="126"/>
      <c r="H24" s="126"/>
      <c r="I24" s="126"/>
      <c r="J24" s="127">
        <f t="shared" ref="J24" si="20">SUM(J25:J27)</f>
        <v>0</v>
      </c>
      <c r="K24" s="196">
        <f t="shared" ref="K24:K27" si="21">C24-SUM(D24:G24,H24:I24,J24)</f>
        <v>0</v>
      </c>
      <c r="M24" s="194"/>
      <c r="N24" s="195" t="s">
        <v>578</v>
      </c>
      <c r="O24" s="185"/>
      <c r="P24" s="126"/>
      <c r="Q24" s="126"/>
      <c r="R24" s="126"/>
      <c r="S24" s="126"/>
      <c r="T24" s="126"/>
      <c r="U24" s="126"/>
      <c r="V24" s="127">
        <f t="shared" ref="V24" si="22">SUM(V25:V27)</f>
        <v>0</v>
      </c>
      <c r="W24" s="196">
        <f t="shared" ref="W24:W27" si="23">O24-SUM(P24:S24,T24:U24,V24)</f>
        <v>0</v>
      </c>
      <c r="Y24" s="194"/>
      <c r="Z24" s="195" t="s">
        <v>578</v>
      </c>
      <c r="AA24" s="185"/>
      <c r="AB24" s="126"/>
      <c r="AC24" s="126"/>
      <c r="AD24" s="126"/>
      <c r="AE24" s="126"/>
      <c r="AF24" s="126"/>
      <c r="AG24" s="126"/>
      <c r="AH24" s="127"/>
      <c r="AI24" s="196">
        <f t="shared" ref="AI24:AI27" si="24">AA24-SUM(AB24:AE24,AF24:AG24,AH24)</f>
        <v>0</v>
      </c>
      <c r="AK24" s="194"/>
      <c r="AL24" s="195" t="s">
        <v>578</v>
      </c>
      <c r="AM24" s="185"/>
      <c r="AN24" s="126"/>
      <c r="AO24" s="126"/>
      <c r="AP24" s="126"/>
      <c r="AQ24" s="126"/>
      <c r="AR24" s="126"/>
      <c r="AS24" s="126"/>
      <c r="AT24" s="127">
        <f t="shared" ref="AT24" si="25">SUM(AT25:AT27)</f>
        <v>0</v>
      </c>
      <c r="AU24" s="196">
        <f t="shared" ref="AU24:AU27" si="26">AM24-SUM(AN24:AQ24,AR24:AS24,AT24)</f>
        <v>0</v>
      </c>
      <c r="AW24" s="2"/>
      <c r="AX24" s="6" t="s">
        <v>578</v>
      </c>
      <c r="AY24" s="185"/>
      <c r="AZ24" s="126"/>
      <c r="BA24" s="126"/>
      <c r="BB24" s="126"/>
      <c r="BC24" s="126"/>
      <c r="BD24" s="126"/>
      <c r="BE24" s="126"/>
      <c r="BF24" s="127">
        <f t="shared" ref="BF24" si="27">SUM(BF25:BF27)</f>
        <v>0</v>
      </c>
      <c r="BG24" s="123">
        <f t="shared" ref="BG24:BG27" si="28">AY24-SUM(AZ24:BC24,BD24:BE24,BF24)</f>
        <v>0</v>
      </c>
      <c r="BI24" s="69" t="str">
        <f>IF(OR(K24&lt;0,W24&lt;0,AI24&lt;0,AU24&lt;0,BG24&lt;0),"!! Total must be &gt;= sum by situation",IF(OR(C24&lt;SUM(O24,AA24,AM24,AY24),D24&lt;SUM(P24,AB24,AN24,AZ24),E24&lt;SUM(Q24,AC24,AO24,BA24),F24&lt;SUM(R24,AD24,AP24,BB24),G24&lt;SUM(S24,AE24,AQ24,BC24),H24&lt;SUM(T24,AF24,AR24,BD24),I24&lt;SUM(U24,AG24,AS24,BE24),J24&lt;SUM(V24,AH24,AT24,BF24)),"!! Values in FU1 must be &gt;= sum of values in FU2 - FU5",""))</f>
        <v/>
      </c>
      <c r="BK24" s="265"/>
    </row>
    <row r="25" spans="1:63" x14ac:dyDescent="0.2">
      <c r="A25" s="194"/>
      <c r="B25" s="195" t="s">
        <v>6</v>
      </c>
      <c r="C25" s="185"/>
      <c r="D25" s="126"/>
      <c r="E25" s="127"/>
      <c r="F25" s="127"/>
      <c r="G25" s="127"/>
      <c r="H25" s="127"/>
      <c r="I25" s="127"/>
      <c r="J25" s="127">
        <v>0</v>
      </c>
      <c r="K25" s="196">
        <f t="shared" si="21"/>
        <v>0</v>
      </c>
      <c r="M25" s="194"/>
      <c r="N25" s="195" t="s">
        <v>6</v>
      </c>
      <c r="O25" s="185"/>
      <c r="P25" s="126"/>
      <c r="Q25" s="127"/>
      <c r="R25" s="127"/>
      <c r="S25" s="127"/>
      <c r="T25" s="127"/>
      <c r="U25" s="127"/>
      <c r="V25" s="127">
        <v>0</v>
      </c>
      <c r="W25" s="196">
        <f t="shared" si="23"/>
        <v>0</v>
      </c>
      <c r="Y25" s="194"/>
      <c r="Z25" s="195" t="s">
        <v>6</v>
      </c>
      <c r="AA25" s="185"/>
      <c r="AB25" s="126"/>
      <c r="AC25" s="127"/>
      <c r="AD25" s="127"/>
      <c r="AE25" s="127"/>
      <c r="AF25" s="127"/>
      <c r="AG25" s="127"/>
      <c r="AH25" s="127"/>
      <c r="AI25" s="196">
        <f t="shared" si="24"/>
        <v>0</v>
      </c>
      <c r="AK25" s="194"/>
      <c r="AL25" s="195" t="s">
        <v>6</v>
      </c>
      <c r="AM25" s="185"/>
      <c r="AN25" s="126"/>
      <c r="AO25" s="127"/>
      <c r="AP25" s="127"/>
      <c r="AQ25" s="127"/>
      <c r="AR25" s="127"/>
      <c r="AS25" s="127"/>
      <c r="AT25" s="127">
        <v>0</v>
      </c>
      <c r="AU25" s="196">
        <f t="shared" si="26"/>
        <v>0</v>
      </c>
      <c r="AW25" s="2"/>
      <c r="AX25" s="6" t="s">
        <v>6</v>
      </c>
      <c r="AY25" s="185"/>
      <c r="AZ25" s="126"/>
      <c r="BA25" s="127"/>
      <c r="BB25" s="127"/>
      <c r="BC25" s="127"/>
      <c r="BD25" s="127"/>
      <c r="BE25" s="127"/>
      <c r="BF25" s="127">
        <v>0</v>
      </c>
      <c r="BG25" s="123">
        <f t="shared" si="28"/>
        <v>0</v>
      </c>
      <c r="BI25" s="69" t="str">
        <f>IF(OR(K25&lt;0,W25&lt;0,AI25&lt;0,AU25&lt;0,BG25&lt;0),"!! Total must be &gt;= sum by situation",IF(OR(C25&lt;SUM(O25,AA25,AM25,AY25),D25&lt;SUM(P25,AB25,AN25,AZ25),E25&lt;SUM(Q25,AC25,AO25,BA25),F25&lt;SUM(R25,AD25,AP25,BB25),G25&lt;SUM(S25,AE25,AQ25,BC25),H25&lt;SUM(T25,AF25,AR25,BD25),I25&lt;SUM(U25,AG25,AS25,BE25),J25&lt;SUM(V25,AH25,AT25,BF25)),"!! Values in FU1 must be &gt;= sum of values in FU2 - FU5",""))</f>
        <v/>
      </c>
      <c r="BK25" s="265"/>
    </row>
    <row r="26" spans="1:63" x14ac:dyDescent="0.2">
      <c r="A26" s="194"/>
      <c r="B26" s="195" t="s">
        <v>7</v>
      </c>
      <c r="C26" s="185"/>
      <c r="D26" s="126"/>
      <c r="E26" s="126"/>
      <c r="F26" s="126"/>
      <c r="G26" s="126"/>
      <c r="H26" s="126"/>
      <c r="I26" s="126"/>
      <c r="J26" s="127">
        <v>0</v>
      </c>
      <c r="K26" s="196">
        <f t="shared" si="21"/>
        <v>0</v>
      </c>
      <c r="M26" s="194"/>
      <c r="N26" s="195" t="s">
        <v>7</v>
      </c>
      <c r="O26" s="185"/>
      <c r="P26" s="126"/>
      <c r="Q26" s="126"/>
      <c r="R26" s="126"/>
      <c r="S26" s="126"/>
      <c r="T26" s="126"/>
      <c r="U26" s="126"/>
      <c r="V26" s="127">
        <v>0</v>
      </c>
      <c r="W26" s="196">
        <f t="shared" si="23"/>
        <v>0</v>
      </c>
      <c r="Y26" s="194"/>
      <c r="Z26" s="195" t="s">
        <v>7</v>
      </c>
      <c r="AA26" s="185"/>
      <c r="AB26" s="126"/>
      <c r="AC26" s="126"/>
      <c r="AD26" s="126"/>
      <c r="AE26" s="126"/>
      <c r="AF26" s="126"/>
      <c r="AG26" s="126"/>
      <c r="AH26" s="127"/>
      <c r="AI26" s="196">
        <f t="shared" si="24"/>
        <v>0</v>
      </c>
      <c r="AK26" s="194"/>
      <c r="AL26" s="195" t="s">
        <v>7</v>
      </c>
      <c r="AM26" s="185"/>
      <c r="AN26" s="126"/>
      <c r="AO26" s="126"/>
      <c r="AP26" s="126"/>
      <c r="AQ26" s="126"/>
      <c r="AR26" s="126"/>
      <c r="AS26" s="126"/>
      <c r="AT26" s="127">
        <v>0</v>
      </c>
      <c r="AU26" s="196">
        <f t="shared" si="26"/>
        <v>0</v>
      </c>
      <c r="AW26" s="2"/>
      <c r="AX26" s="6" t="s">
        <v>7</v>
      </c>
      <c r="AY26" s="185"/>
      <c r="AZ26" s="126"/>
      <c r="BA26" s="126"/>
      <c r="BB26" s="126"/>
      <c r="BC26" s="126"/>
      <c r="BD26" s="126"/>
      <c r="BE26" s="126"/>
      <c r="BF26" s="127">
        <v>0</v>
      </c>
      <c r="BG26" s="123">
        <f t="shared" si="28"/>
        <v>0</v>
      </c>
      <c r="BI26" s="69" t="str">
        <f t="shared" ref="BI26:BI27" si="29">IF(OR(K26&lt;0,W26&lt;0,AI26&lt;0,AU26&lt;0,BG26&lt;0),"!! Total must be &gt;= sum by situation",IF(OR(C26&lt;SUM(O26,AA26,AM26,AY26),D26&lt;SUM(P26,AB26,AN26,AZ26),E26&lt;SUM(Q26,AC26,AO26,BA26),F26&lt;SUM(R26,AD26,AP26,BB26),G26&lt;SUM(S26,AE26,AQ26,BC26),H26&lt;SUM(T26,AF26,AR26,BD26),I26&lt;SUM(U26,AG26,AS26,BE26),J26&lt;SUM(V26,AH26,AT26,BF26)),"!! Values in FU1 must be &gt;= sum of values in FU2 - FU5",""))</f>
        <v/>
      </c>
      <c r="BK26" s="265"/>
    </row>
    <row r="27" spans="1:63" x14ac:dyDescent="0.2">
      <c r="A27" s="194"/>
      <c r="B27" s="195" t="s">
        <v>577</v>
      </c>
      <c r="C27" s="185"/>
      <c r="D27" s="126"/>
      <c r="E27" s="127"/>
      <c r="F27" s="127"/>
      <c r="G27" s="127"/>
      <c r="H27" s="127"/>
      <c r="I27" s="127"/>
      <c r="J27" s="127">
        <v>0</v>
      </c>
      <c r="K27" s="196">
        <f t="shared" si="21"/>
        <v>0</v>
      </c>
      <c r="M27" s="194"/>
      <c r="N27" s="195" t="s">
        <v>577</v>
      </c>
      <c r="O27" s="185"/>
      <c r="P27" s="126"/>
      <c r="Q27" s="127"/>
      <c r="R27" s="127"/>
      <c r="S27" s="127"/>
      <c r="T27" s="127"/>
      <c r="U27" s="127"/>
      <c r="V27" s="127">
        <v>0</v>
      </c>
      <c r="W27" s="196">
        <f t="shared" si="23"/>
        <v>0</v>
      </c>
      <c r="Y27" s="194"/>
      <c r="Z27" s="195" t="s">
        <v>577</v>
      </c>
      <c r="AA27" s="185"/>
      <c r="AB27" s="126"/>
      <c r="AC27" s="127"/>
      <c r="AD27" s="127"/>
      <c r="AE27" s="127"/>
      <c r="AF27" s="127"/>
      <c r="AG27" s="127"/>
      <c r="AH27" s="127"/>
      <c r="AI27" s="196">
        <f t="shared" si="24"/>
        <v>0</v>
      </c>
      <c r="AK27" s="194"/>
      <c r="AL27" s="195" t="s">
        <v>577</v>
      </c>
      <c r="AM27" s="185"/>
      <c r="AN27" s="126"/>
      <c r="AO27" s="127"/>
      <c r="AP27" s="127"/>
      <c r="AQ27" s="127"/>
      <c r="AR27" s="127"/>
      <c r="AS27" s="127"/>
      <c r="AT27" s="127">
        <v>0</v>
      </c>
      <c r="AU27" s="196">
        <f t="shared" si="26"/>
        <v>0</v>
      </c>
      <c r="AW27" s="2"/>
      <c r="AX27" s="6" t="s">
        <v>577</v>
      </c>
      <c r="AY27" s="185"/>
      <c r="AZ27" s="126"/>
      <c r="BA27" s="127"/>
      <c r="BB27" s="127"/>
      <c r="BC27" s="127"/>
      <c r="BD27" s="127"/>
      <c r="BE27" s="127"/>
      <c r="BF27" s="127">
        <v>0</v>
      </c>
      <c r="BG27" s="123">
        <f t="shared" si="28"/>
        <v>0</v>
      </c>
      <c r="BI27" s="69" t="str">
        <f t="shared" si="29"/>
        <v/>
      </c>
      <c r="BK27" s="265"/>
    </row>
    <row r="28" spans="1:63" x14ac:dyDescent="0.2">
      <c r="A28" s="183" t="s">
        <v>5</v>
      </c>
      <c r="B28" s="179"/>
      <c r="C28" s="172" t="str">
        <f>C$18</f>
        <v>Total</v>
      </c>
      <c r="D28" s="180" t="str">
        <f>D$18</f>
        <v>Employment</v>
      </c>
      <c r="E28" s="180" t="str">
        <f t="shared" ref="E28:J28" si="30">E$18</f>
        <v>Education</v>
      </c>
      <c r="F28" s="180" t="str">
        <f t="shared" si="30"/>
        <v>Apprenticeship</v>
      </c>
      <c r="G28" s="180" t="str">
        <f t="shared" si="30"/>
        <v>Traineeship</v>
      </c>
      <c r="H28" s="180" t="str">
        <f t="shared" si="30"/>
        <v>Unemployment</v>
      </c>
      <c r="I28" s="180" t="str">
        <f t="shared" si="30"/>
        <v>Inactivity</v>
      </c>
      <c r="J28" s="180" t="str">
        <f t="shared" si="30"/>
        <v>Not applicable</v>
      </c>
      <c r="K28" s="182" t="str">
        <f t="shared" ref="K28" si="31">K$18</f>
        <v>Unknown</v>
      </c>
      <c r="M28" s="183" t="s">
        <v>5</v>
      </c>
      <c r="N28" s="179"/>
      <c r="O28" s="172" t="str">
        <f>O$18</f>
        <v>Total</v>
      </c>
      <c r="P28" s="180" t="str">
        <f>P$18</f>
        <v>Employment</v>
      </c>
      <c r="Q28" s="180" t="str">
        <f t="shared" ref="Q28:V28" si="32">Q$18</f>
        <v>Education</v>
      </c>
      <c r="R28" s="180" t="str">
        <f t="shared" si="32"/>
        <v>Apprenticeship</v>
      </c>
      <c r="S28" s="180" t="str">
        <f t="shared" si="32"/>
        <v>Traineeship</v>
      </c>
      <c r="T28" s="180" t="str">
        <f t="shared" si="32"/>
        <v>Unemployment</v>
      </c>
      <c r="U28" s="180" t="str">
        <f t="shared" si="32"/>
        <v>Inactivity</v>
      </c>
      <c r="V28" s="180" t="str">
        <f t="shared" si="32"/>
        <v>Not applicable</v>
      </c>
      <c r="W28" s="182" t="str">
        <f t="shared" ref="W28" si="33">W$18</f>
        <v>Unknown</v>
      </c>
      <c r="Y28" s="183" t="s">
        <v>5</v>
      </c>
      <c r="Z28" s="179"/>
      <c r="AA28" s="172" t="str">
        <f>AA$18</f>
        <v>Total</v>
      </c>
      <c r="AB28" s="180" t="str">
        <f>AB$18</f>
        <v>Employment</v>
      </c>
      <c r="AC28" s="180" t="str">
        <f t="shared" ref="AC28:AH28" si="34">AC$18</f>
        <v>Education</v>
      </c>
      <c r="AD28" s="180" t="str">
        <f t="shared" si="34"/>
        <v>Apprenticeship</v>
      </c>
      <c r="AE28" s="180" t="str">
        <f t="shared" si="34"/>
        <v>Traineeship</v>
      </c>
      <c r="AF28" s="180" t="str">
        <f t="shared" si="34"/>
        <v>Unemployment</v>
      </c>
      <c r="AG28" s="180" t="str">
        <f t="shared" si="34"/>
        <v>Inactivity</v>
      </c>
      <c r="AH28" s="180" t="str">
        <f t="shared" si="34"/>
        <v>Not applicable</v>
      </c>
      <c r="AI28" s="182" t="str">
        <f t="shared" ref="AI28" si="35">AI$18</f>
        <v>Unknown</v>
      </c>
      <c r="AK28" s="183" t="s">
        <v>5</v>
      </c>
      <c r="AL28" s="179"/>
      <c r="AM28" s="172" t="str">
        <f>AM$18</f>
        <v>Total</v>
      </c>
      <c r="AN28" s="180" t="str">
        <f>AN$18</f>
        <v>Employment</v>
      </c>
      <c r="AO28" s="180" t="str">
        <f t="shared" ref="AO28:AT28" si="36">AO$18</f>
        <v>Education</v>
      </c>
      <c r="AP28" s="180" t="str">
        <f t="shared" si="36"/>
        <v>Apprenticeship</v>
      </c>
      <c r="AQ28" s="180" t="str">
        <f t="shared" si="36"/>
        <v>Traineeship</v>
      </c>
      <c r="AR28" s="180" t="str">
        <f t="shared" si="36"/>
        <v>Unemployment</v>
      </c>
      <c r="AS28" s="180" t="str">
        <f t="shared" si="36"/>
        <v>Inactivity</v>
      </c>
      <c r="AT28" s="180" t="str">
        <f t="shared" si="36"/>
        <v>Not applicable</v>
      </c>
      <c r="AU28" s="182" t="str">
        <f t="shared" ref="AU28" si="37">AU$18</f>
        <v>Unknown</v>
      </c>
      <c r="AW28" s="183" t="s">
        <v>5</v>
      </c>
      <c r="AX28" s="179"/>
      <c r="AY28" s="172" t="str">
        <f>AY$18</f>
        <v>Total</v>
      </c>
      <c r="AZ28" s="180" t="str">
        <f>AZ$18</f>
        <v>Employment</v>
      </c>
      <c r="BA28" s="180" t="str">
        <f t="shared" ref="BA28:BF28" si="38">BA$18</f>
        <v>Education</v>
      </c>
      <c r="BB28" s="180" t="str">
        <f t="shared" si="38"/>
        <v>Apprenticeship</v>
      </c>
      <c r="BC28" s="180" t="str">
        <f t="shared" si="38"/>
        <v>Traineeship</v>
      </c>
      <c r="BD28" s="180" t="str">
        <f t="shared" si="38"/>
        <v>Unemployment</v>
      </c>
      <c r="BE28" s="180" t="str">
        <f t="shared" si="38"/>
        <v>Inactivity</v>
      </c>
      <c r="BF28" s="180" t="str">
        <f t="shared" si="38"/>
        <v>Not applicable</v>
      </c>
      <c r="BG28" s="182" t="str">
        <f t="shared" ref="BG28" si="39">BG$18</f>
        <v>Unknown</v>
      </c>
      <c r="BI28" s="69"/>
      <c r="BK28" s="265"/>
    </row>
    <row r="29" spans="1:63" x14ac:dyDescent="0.2">
      <c r="A29" s="194"/>
      <c r="B29" s="195" t="s">
        <v>578</v>
      </c>
      <c r="C29" s="185"/>
      <c r="D29" s="126"/>
      <c r="E29" s="126"/>
      <c r="F29" s="126"/>
      <c r="G29" s="126"/>
      <c r="H29" s="126"/>
      <c r="I29" s="126"/>
      <c r="J29" s="127">
        <f t="shared" ref="J29" si="40">SUM(J30:J32)</f>
        <v>0</v>
      </c>
      <c r="K29" s="196">
        <f t="shared" ref="K29:K31" si="41">C29-SUM(D29:G29,H29:I29,J29)</f>
        <v>0</v>
      </c>
      <c r="M29" s="194"/>
      <c r="N29" s="195" t="s">
        <v>578</v>
      </c>
      <c r="O29" s="185"/>
      <c r="P29" s="126"/>
      <c r="Q29" s="126"/>
      <c r="R29" s="126"/>
      <c r="S29" s="126"/>
      <c r="T29" s="126"/>
      <c r="U29" s="126"/>
      <c r="V29" s="127">
        <f t="shared" ref="V29" si="42">SUM(V30:V32)</f>
        <v>0</v>
      </c>
      <c r="W29" s="196">
        <f t="shared" ref="W29:W31" si="43">O29-SUM(P29:S29,T29:U29,V29)</f>
        <v>0</v>
      </c>
      <c r="Y29" s="194"/>
      <c r="Z29" s="195" t="s">
        <v>578</v>
      </c>
      <c r="AA29" s="185"/>
      <c r="AB29" s="126"/>
      <c r="AC29" s="126"/>
      <c r="AD29" s="126"/>
      <c r="AE29" s="126"/>
      <c r="AF29" s="126"/>
      <c r="AG29" s="126"/>
      <c r="AH29" s="127">
        <f t="shared" ref="AH29" si="44">SUM(AH30:AH32)</f>
        <v>0</v>
      </c>
      <c r="AI29" s="196">
        <f t="shared" ref="AI29:AI31" si="45">AA29-SUM(AB29:AE29,AF29:AG29,AH29)</f>
        <v>0</v>
      </c>
      <c r="AK29" s="194"/>
      <c r="AL29" s="195" t="s">
        <v>578</v>
      </c>
      <c r="AM29" s="185"/>
      <c r="AN29" s="126"/>
      <c r="AO29" s="126"/>
      <c r="AP29" s="126"/>
      <c r="AQ29" s="126"/>
      <c r="AR29" s="126"/>
      <c r="AS29" s="126"/>
      <c r="AT29" s="127">
        <f t="shared" ref="AT29" si="46">SUM(AT30:AT32)</f>
        <v>0</v>
      </c>
      <c r="AU29" s="196">
        <f t="shared" ref="AU29:AU31" si="47">AM29-SUM(AN29:AQ29,AR29:AS29,AT29)</f>
        <v>0</v>
      </c>
      <c r="AW29" s="2"/>
      <c r="AX29" s="6" t="s">
        <v>578</v>
      </c>
      <c r="AY29" s="185"/>
      <c r="AZ29" s="126"/>
      <c r="BA29" s="126"/>
      <c r="BB29" s="126"/>
      <c r="BC29" s="126"/>
      <c r="BD29" s="126"/>
      <c r="BE29" s="126"/>
      <c r="BF29" s="127">
        <f t="shared" ref="BF29" si="48">SUM(BF30:BF32)</f>
        <v>0</v>
      </c>
      <c r="BG29" s="123">
        <f t="shared" ref="BG29:BG31" si="49">AY29-SUM(AZ29:BC29,BD29:BE29,BF29)</f>
        <v>0</v>
      </c>
      <c r="BI29" s="69" t="str">
        <f>IF(OR(K29&lt;0,W29&lt;0,AI29&lt;0,AU29&lt;0,BG29&lt;0),"!! Total must be &gt;= sum by situation",IF(OR(C29&lt;SUM(O29,AA29,AM29,AY29),D29&lt;SUM(P29,AB29,AN29,AZ29),E29&lt;SUM(Q29,AC29,AO29,BA29),F29&lt;SUM(R29,AD29,AP29,BB29),G29&lt;SUM(S29,AE29,AQ29,BC29),H29&lt;SUM(T29,AF29,AR29,BD29),I29&lt;SUM(U29,AG29,AS29,BE29),J29&lt;SUM(V29,AH29,AT29,BF29)),"!! Values in FU1 must be &gt;= sum of values in FU2 - FU5",""))</f>
        <v/>
      </c>
      <c r="BK29" s="265"/>
    </row>
    <row r="30" spans="1:63" x14ac:dyDescent="0.2">
      <c r="A30" s="194"/>
      <c r="B30" s="195" t="s">
        <v>6</v>
      </c>
      <c r="C30" s="185"/>
      <c r="D30" s="126"/>
      <c r="E30" s="127"/>
      <c r="F30" s="127"/>
      <c r="G30" s="127"/>
      <c r="H30" s="127"/>
      <c r="I30" s="127"/>
      <c r="J30" s="127">
        <v>0</v>
      </c>
      <c r="K30" s="196">
        <f t="shared" si="41"/>
        <v>0</v>
      </c>
      <c r="M30" s="194"/>
      <c r="N30" s="195" t="s">
        <v>6</v>
      </c>
      <c r="O30" s="185"/>
      <c r="P30" s="126"/>
      <c r="Q30" s="127"/>
      <c r="R30" s="127"/>
      <c r="S30" s="127"/>
      <c r="T30" s="127"/>
      <c r="U30" s="127"/>
      <c r="V30" s="127">
        <v>0</v>
      </c>
      <c r="W30" s="196">
        <f t="shared" si="43"/>
        <v>0</v>
      </c>
      <c r="Y30" s="194"/>
      <c r="Z30" s="195" t="s">
        <v>6</v>
      </c>
      <c r="AA30" s="185"/>
      <c r="AB30" s="126"/>
      <c r="AC30" s="127"/>
      <c r="AD30" s="127"/>
      <c r="AE30" s="127"/>
      <c r="AF30" s="127"/>
      <c r="AG30" s="127"/>
      <c r="AH30" s="127">
        <v>0</v>
      </c>
      <c r="AI30" s="196">
        <f t="shared" si="45"/>
        <v>0</v>
      </c>
      <c r="AK30" s="194"/>
      <c r="AL30" s="195" t="s">
        <v>6</v>
      </c>
      <c r="AM30" s="185"/>
      <c r="AN30" s="126"/>
      <c r="AO30" s="127"/>
      <c r="AP30" s="127"/>
      <c r="AQ30" s="127"/>
      <c r="AR30" s="127"/>
      <c r="AS30" s="127"/>
      <c r="AT30" s="127">
        <v>0</v>
      </c>
      <c r="AU30" s="196">
        <f t="shared" si="47"/>
        <v>0</v>
      </c>
      <c r="AW30" s="2"/>
      <c r="AX30" s="6" t="s">
        <v>6</v>
      </c>
      <c r="AY30" s="185"/>
      <c r="AZ30" s="126"/>
      <c r="BA30" s="127"/>
      <c r="BB30" s="127"/>
      <c r="BC30" s="127"/>
      <c r="BD30" s="127"/>
      <c r="BE30" s="127"/>
      <c r="BF30" s="127">
        <v>0</v>
      </c>
      <c r="BG30" s="123">
        <f t="shared" si="49"/>
        <v>0</v>
      </c>
      <c r="BI30" s="69" t="str">
        <f>IF(OR(K30&lt;0,W30&lt;0,AI30&lt;0,AU30&lt;0,BG30&lt;0),"!! Total must be &gt;= sum by situation",IF(OR(C30&lt;SUM(O30,AA30,AM30,AY30),D30&lt;SUM(P30,AB30,AN30,AZ30),E30&lt;SUM(Q30,AC30,AO30,BA30),F30&lt;SUM(R30,AD30,AP30,BB30),G30&lt;SUM(S30,AE30,AQ30,BC30),H30&lt;SUM(T30,AF30,AR30,BD30),I30&lt;SUM(U30,AG30,AS30,BE30),J30&lt;SUM(V30,AH30,AT30,BF30)),"!! Values in FU1 must be &gt;= sum of values in FU2 - FU5",""))</f>
        <v/>
      </c>
      <c r="BK30" s="265"/>
    </row>
    <row r="31" spans="1:63" x14ac:dyDescent="0.2">
      <c r="A31" s="194"/>
      <c r="B31" s="195" t="s">
        <v>7</v>
      </c>
      <c r="C31" s="185"/>
      <c r="D31" s="126"/>
      <c r="E31" s="126"/>
      <c r="F31" s="126"/>
      <c r="G31" s="126"/>
      <c r="H31" s="126"/>
      <c r="I31" s="126"/>
      <c r="J31" s="127">
        <v>0</v>
      </c>
      <c r="K31" s="196">
        <f t="shared" si="41"/>
        <v>0</v>
      </c>
      <c r="M31" s="194"/>
      <c r="N31" s="195" t="s">
        <v>7</v>
      </c>
      <c r="O31" s="185"/>
      <c r="P31" s="126"/>
      <c r="Q31" s="126"/>
      <c r="R31" s="126"/>
      <c r="S31" s="126"/>
      <c r="T31" s="126"/>
      <c r="U31" s="126"/>
      <c r="V31" s="127">
        <v>0</v>
      </c>
      <c r="W31" s="196">
        <f t="shared" si="43"/>
        <v>0</v>
      </c>
      <c r="Y31" s="194"/>
      <c r="Z31" s="195" t="s">
        <v>7</v>
      </c>
      <c r="AA31" s="185"/>
      <c r="AB31" s="126"/>
      <c r="AC31" s="126"/>
      <c r="AD31" s="126"/>
      <c r="AE31" s="126"/>
      <c r="AF31" s="126"/>
      <c r="AG31" s="126"/>
      <c r="AH31" s="127">
        <v>0</v>
      </c>
      <c r="AI31" s="196">
        <f t="shared" si="45"/>
        <v>0</v>
      </c>
      <c r="AK31" s="194"/>
      <c r="AL31" s="195" t="s">
        <v>7</v>
      </c>
      <c r="AM31" s="185"/>
      <c r="AN31" s="126"/>
      <c r="AO31" s="126"/>
      <c r="AP31" s="126"/>
      <c r="AQ31" s="126"/>
      <c r="AR31" s="126"/>
      <c r="AS31" s="126"/>
      <c r="AT31" s="127">
        <v>0</v>
      </c>
      <c r="AU31" s="196">
        <f t="shared" si="47"/>
        <v>0</v>
      </c>
      <c r="AW31" s="2"/>
      <c r="AX31" s="6" t="s">
        <v>7</v>
      </c>
      <c r="AY31" s="185"/>
      <c r="AZ31" s="126"/>
      <c r="BA31" s="126"/>
      <c r="BB31" s="126"/>
      <c r="BC31" s="126"/>
      <c r="BD31" s="126"/>
      <c r="BE31" s="126"/>
      <c r="BF31" s="127">
        <v>0</v>
      </c>
      <c r="BG31" s="123">
        <f t="shared" si="49"/>
        <v>0</v>
      </c>
      <c r="BI31" s="69" t="str">
        <f t="shared" ref="BI31:BI32" si="50">IF(OR(K31&lt;0,W31&lt;0,AI31&lt;0,AU31&lt;0,BG31&lt;0),"!! Total must be &gt;= sum by situation",IF(OR(C31&lt;SUM(O31,AA31,AM31,AY31),D31&lt;SUM(P31,AB31,AN31,AZ31),E31&lt;SUM(Q31,AC31,AO31,BA31),F31&lt;SUM(R31,AD31,AP31,BB31),G31&lt;SUM(S31,AE31,AQ31,BC31),H31&lt;SUM(T31,AF31,AR31,BD31),I31&lt;SUM(U31,AG31,AS31,BE31),J31&lt;SUM(V31,AH31,AT31,BF31)),"!! Values in FU1 must be &gt;= sum of values in FU2 - FU5",""))</f>
        <v/>
      </c>
      <c r="BK31" s="265"/>
    </row>
    <row r="32" spans="1:63" ht="16" thickBot="1" x14ac:dyDescent="0.25">
      <c r="A32" s="194"/>
      <c r="B32" s="195" t="s">
        <v>577</v>
      </c>
      <c r="C32" s="185"/>
      <c r="D32" s="126"/>
      <c r="E32" s="127"/>
      <c r="F32" s="127"/>
      <c r="G32" s="127"/>
      <c r="H32" s="127"/>
      <c r="I32" s="127"/>
      <c r="J32" s="127">
        <v>0</v>
      </c>
      <c r="K32" s="196">
        <f>C32-SUM(D32:G32,H32:I32,J32)</f>
        <v>0</v>
      </c>
      <c r="M32" s="194"/>
      <c r="N32" s="195" t="s">
        <v>577</v>
      </c>
      <c r="O32" s="185"/>
      <c r="P32" s="126"/>
      <c r="Q32" s="127"/>
      <c r="R32" s="127"/>
      <c r="S32" s="127"/>
      <c r="T32" s="127"/>
      <c r="U32" s="127"/>
      <c r="V32" s="127">
        <v>0</v>
      </c>
      <c r="W32" s="196">
        <f>O32-SUM(P32:S32,T32:U32,V32)</f>
        <v>0</v>
      </c>
      <c r="Y32" s="194"/>
      <c r="Z32" s="195" t="s">
        <v>577</v>
      </c>
      <c r="AA32" s="185"/>
      <c r="AB32" s="126"/>
      <c r="AC32" s="127"/>
      <c r="AD32" s="127"/>
      <c r="AE32" s="127"/>
      <c r="AF32" s="127"/>
      <c r="AG32" s="127"/>
      <c r="AH32" s="127">
        <v>0</v>
      </c>
      <c r="AI32" s="196">
        <f>AA32-SUM(AB32:AE32,AF32:AG32,AH32)</f>
        <v>0</v>
      </c>
      <c r="AK32" s="194"/>
      <c r="AL32" s="195" t="s">
        <v>577</v>
      </c>
      <c r="AM32" s="185"/>
      <c r="AN32" s="126"/>
      <c r="AO32" s="127"/>
      <c r="AP32" s="127"/>
      <c r="AQ32" s="127"/>
      <c r="AR32" s="127"/>
      <c r="AS32" s="127"/>
      <c r="AT32" s="127">
        <v>0</v>
      </c>
      <c r="AU32" s="196">
        <f>AM32-SUM(AN32:AQ32,AR32:AS32,AT32)</f>
        <v>0</v>
      </c>
      <c r="AW32" s="2"/>
      <c r="AX32" s="6" t="s">
        <v>577</v>
      </c>
      <c r="AY32" s="185"/>
      <c r="AZ32" s="126"/>
      <c r="BA32" s="127"/>
      <c r="BB32" s="127"/>
      <c r="BC32" s="127"/>
      <c r="BD32" s="127"/>
      <c r="BE32" s="127"/>
      <c r="BF32" s="127">
        <v>0</v>
      </c>
      <c r="BG32" s="123">
        <f>AY32-SUM(AZ32:BC32,BD32:BE32,BF32)</f>
        <v>0</v>
      </c>
      <c r="BI32" s="69" t="str">
        <f t="shared" si="50"/>
        <v/>
      </c>
      <c r="BK32" s="265"/>
    </row>
    <row r="33" spans="1:63" ht="16" thickTop="1" x14ac:dyDescent="0.2">
      <c r="A33" s="197" t="s">
        <v>158</v>
      </c>
      <c r="B33" s="198"/>
      <c r="C33" s="155"/>
      <c r="D33" s="156"/>
      <c r="E33" s="157"/>
      <c r="F33" s="157"/>
      <c r="G33" s="157"/>
      <c r="H33" s="157"/>
      <c r="I33" s="157"/>
      <c r="J33" s="157"/>
      <c r="K33" s="199"/>
      <c r="M33" s="197" t="s">
        <v>158</v>
      </c>
      <c r="N33" s="198"/>
      <c r="O33" s="155"/>
      <c r="P33" s="156"/>
      <c r="Q33" s="157"/>
      <c r="R33" s="157"/>
      <c r="S33" s="157"/>
      <c r="T33" s="157"/>
      <c r="U33" s="157"/>
      <c r="V33" s="157"/>
      <c r="W33" s="199"/>
      <c r="Y33" s="197" t="s">
        <v>158</v>
      </c>
      <c r="Z33" s="198"/>
      <c r="AA33" s="155"/>
      <c r="AB33" s="156"/>
      <c r="AC33" s="157"/>
      <c r="AD33" s="157"/>
      <c r="AE33" s="157"/>
      <c r="AF33" s="157"/>
      <c r="AG33" s="157"/>
      <c r="AH33" s="157"/>
      <c r="AI33" s="199"/>
      <c r="AK33" s="197" t="s">
        <v>158</v>
      </c>
      <c r="AL33" s="198"/>
      <c r="AM33" s="155"/>
      <c r="AN33" s="156"/>
      <c r="AO33" s="157"/>
      <c r="AP33" s="157"/>
      <c r="AQ33" s="157"/>
      <c r="AR33" s="157"/>
      <c r="AS33" s="157"/>
      <c r="AT33" s="157"/>
      <c r="AU33" s="199"/>
      <c r="AW33" s="116" t="s">
        <v>158</v>
      </c>
      <c r="AX33" s="117"/>
      <c r="AY33" s="155"/>
      <c r="AZ33" s="156"/>
      <c r="BA33" s="157"/>
      <c r="BB33" s="157"/>
      <c r="BC33" s="157"/>
      <c r="BD33" s="157"/>
      <c r="BE33" s="157"/>
      <c r="BF33" s="157"/>
      <c r="BG33" s="118"/>
      <c r="BI33" s="69"/>
      <c r="BK33" s="265"/>
    </row>
    <row r="34" spans="1:63" ht="15" hidden="1" customHeight="1" x14ac:dyDescent="0.2">
      <c r="A34" s="200" t="str">
        <f>A33</f>
        <v>12 months after exit</v>
      </c>
      <c r="B34" s="201"/>
      <c r="C34" s="158"/>
      <c r="D34" s="158"/>
      <c r="E34" s="158"/>
      <c r="F34" s="158"/>
      <c r="G34" s="158"/>
      <c r="H34" s="158"/>
      <c r="I34" s="158"/>
      <c r="J34" s="159"/>
      <c r="K34" s="202" t="e">
        <f>#REF!</f>
        <v>#REF!</v>
      </c>
      <c r="M34" s="200" t="str">
        <f>M33</f>
        <v>12 months after exit</v>
      </c>
      <c r="N34" s="201"/>
      <c r="O34" s="158"/>
      <c r="P34" s="158"/>
      <c r="Q34" s="158"/>
      <c r="R34" s="158"/>
      <c r="S34" s="158"/>
      <c r="T34" s="158"/>
      <c r="U34" s="158"/>
      <c r="V34" s="159"/>
      <c r="W34" s="202" t="e">
        <f>#REF!</f>
        <v>#REF!</v>
      </c>
      <c r="Y34" s="200" t="str">
        <f>Y33</f>
        <v>12 months after exit</v>
      </c>
      <c r="Z34" s="201"/>
      <c r="AA34" s="158"/>
      <c r="AB34" s="158"/>
      <c r="AC34" s="158"/>
      <c r="AD34" s="158"/>
      <c r="AE34" s="158"/>
      <c r="AF34" s="158"/>
      <c r="AG34" s="158"/>
      <c r="AH34" s="159"/>
      <c r="AI34" s="202" t="e">
        <f>#REF!</f>
        <v>#REF!</v>
      </c>
      <c r="AK34" s="200" t="str">
        <f>AK33</f>
        <v>12 months after exit</v>
      </c>
      <c r="AL34" s="201"/>
      <c r="AM34" s="158"/>
      <c r="AN34" s="158"/>
      <c r="AO34" s="158"/>
      <c r="AP34" s="158"/>
      <c r="AQ34" s="158"/>
      <c r="AR34" s="158"/>
      <c r="AS34" s="158"/>
      <c r="AT34" s="159"/>
      <c r="AU34" s="202" t="e">
        <f>#REF!</f>
        <v>#REF!</v>
      </c>
      <c r="AW34" s="14" t="str">
        <f>AW33</f>
        <v>12 months after exit</v>
      </c>
      <c r="AX34" s="15"/>
      <c r="AY34" s="158"/>
      <c r="AZ34" s="158"/>
      <c r="BA34" s="158"/>
      <c r="BB34" s="158"/>
      <c r="BC34" s="158"/>
      <c r="BD34" s="158"/>
      <c r="BE34" s="158"/>
      <c r="BF34" s="159"/>
      <c r="BG34" s="34" t="e">
        <f>#REF!</f>
        <v>#REF!</v>
      </c>
      <c r="BI34" s="69"/>
      <c r="BK34" s="265"/>
    </row>
    <row r="35" spans="1:63" x14ac:dyDescent="0.2">
      <c r="A35" s="183" t="s">
        <v>97</v>
      </c>
      <c r="B35" s="179"/>
      <c r="C35" s="172" t="str">
        <f>C$18</f>
        <v>Total</v>
      </c>
      <c r="D35" s="180" t="str">
        <f>D$18</f>
        <v>Employment</v>
      </c>
      <c r="E35" s="180" t="str">
        <f t="shared" ref="E35:J35" si="51">E$18</f>
        <v>Education</v>
      </c>
      <c r="F35" s="180" t="str">
        <f t="shared" si="51"/>
        <v>Apprenticeship</v>
      </c>
      <c r="G35" s="180" t="str">
        <f t="shared" si="51"/>
        <v>Traineeship</v>
      </c>
      <c r="H35" s="180" t="str">
        <f t="shared" si="51"/>
        <v>Unemployment</v>
      </c>
      <c r="I35" s="180" t="str">
        <f t="shared" si="51"/>
        <v>Inactivity</v>
      </c>
      <c r="J35" s="180" t="str">
        <f t="shared" si="51"/>
        <v>Not applicable</v>
      </c>
      <c r="K35" s="182" t="str">
        <f t="shared" ref="K35" si="52">K$18</f>
        <v>Unknown</v>
      </c>
      <c r="M35" s="183" t="s">
        <v>97</v>
      </c>
      <c r="N35" s="179"/>
      <c r="O35" s="172" t="str">
        <f>O$18</f>
        <v>Total</v>
      </c>
      <c r="P35" s="180" t="str">
        <f>P$18</f>
        <v>Employment</v>
      </c>
      <c r="Q35" s="180" t="str">
        <f t="shared" ref="Q35:V35" si="53">Q$18</f>
        <v>Education</v>
      </c>
      <c r="R35" s="180" t="str">
        <f t="shared" si="53"/>
        <v>Apprenticeship</v>
      </c>
      <c r="S35" s="180" t="str">
        <f t="shared" si="53"/>
        <v>Traineeship</v>
      </c>
      <c r="T35" s="180" t="str">
        <f t="shared" si="53"/>
        <v>Unemployment</v>
      </c>
      <c r="U35" s="180" t="str">
        <f t="shared" si="53"/>
        <v>Inactivity</v>
      </c>
      <c r="V35" s="180" t="str">
        <f t="shared" si="53"/>
        <v>Not applicable</v>
      </c>
      <c r="W35" s="182" t="str">
        <f t="shared" ref="W35" si="54">W$18</f>
        <v>Unknown</v>
      </c>
      <c r="Y35" s="183" t="s">
        <v>97</v>
      </c>
      <c r="Z35" s="179"/>
      <c r="AA35" s="172" t="str">
        <f>AA$18</f>
        <v>Total</v>
      </c>
      <c r="AB35" s="180" t="str">
        <f>AB$18</f>
        <v>Employment</v>
      </c>
      <c r="AC35" s="180" t="str">
        <f t="shared" ref="AC35:AH35" si="55">AC$18</f>
        <v>Education</v>
      </c>
      <c r="AD35" s="180" t="str">
        <f t="shared" si="55"/>
        <v>Apprenticeship</v>
      </c>
      <c r="AE35" s="180" t="str">
        <f t="shared" si="55"/>
        <v>Traineeship</v>
      </c>
      <c r="AF35" s="180" t="str">
        <f t="shared" si="55"/>
        <v>Unemployment</v>
      </c>
      <c r="AG35" s="180" t="str">
        <f t="shared" si="55"/>
        <v>Inactivity</v>
      </c>
      <c r="AH35" s="180" t="str">
        <f t="shared" si="55"/>
        <v>Not applicable</v>
      </c>
      <c r="AI35" s="182" t="str">
        <f t="shared" ref="AI35" si="56">AI$18</f>
        <v>Unknown</v>
      </c>
      <c r="AK35" s="183" t="s">
        <v>97</v>
      </c>
      <c r="AL35" s="179"/>
      <c r="AM35" s="172" t="str">
        <f>AM$18</f>
        <v>Total</v>
      </c>
      <c r="AN35" s="180" t="str">
        <f>AN$18</f>
        <v>Employment</v>
      </c>
      <c r="AO35" s="180" t="str">
        <f t="shared" ref="AO35:AT35" si="57">AO$18</f>
        <v>Education</v>
      </c>
      <c r="AP35" s="180" t="str">
        <f t="shared" si="57"/>
        <v>Apprenticeship</v>
      </c>
      <c r="AQ35" s="180" t="str">
        <f t="shared" si="57"/>
        <v>Traineeship</v>
      </c>
      <c r="AR35" s="180" t="str">
        <f t="shared" si="57"/>
        <v>Unemployment</v>
      </c>
      <c r="AS35" s="180" t="str">
        <f t="shared" si="57"/>
        <v>Inactivity</v>
      </c>
      <c r="AT35" s="180" t="str">
        <f t="shared" si="57"/>
        <v>Not applicable</v>
      </c>
      <c r="AU35" s="182" t="str">
        <f t="shared" ref="AU35" si="58">AU$18</f>
        <v>Unknown</v>
      </c>
      <c r="AW35" s="183" t="s">
        <v>97</v>
      </c>
      <c r="AX35" s="179"/>
      <c r="AY35" s="172" t="str">
        <f>AY$18</f>
        <v>Total</v>
      </c>
      <c r="AZ35" s="180" t="str">
        <f>AZ$18</f>
        <v>Employment</v>
      </c>
      <c r="BA35" s="180" t="str">
        <f t="shared" ref="BA35:BF35" si="59">BA$18</f>
        <v>Education</v>
      </c>
      <c r="BB35" s="180" t="str">
        <f t="shared" si="59"/>
        <v>Apprenticeship</v>
      </c>
      <c r="BC35" s="180" t="str">
        <f t="shared" si="59"/>
        <v>Traineeship</v>
      </c>
      <c r="BD35" s="180" t="str">
        <f t="shared" si="59"/>
        <v>Unemployment</v>
      </c>
      <c r="BE35" s="180" t="str">
        <f t="shared" si="59"/>
        <v>Inactivity</v>
      </c>
      <c r="BF35" s="180" t="str">
        <f t="shared" si="59"/>
        <v>Not applicable</v>
      </c>
      <c r="BG35" s="182" t="str">
        <f t="shared" ref="BG35" si="60">BG$18</f>
        <v>Unknown</v>
      </c>
      <c r="BI35" s="69" t="str" cm="1">
        <f t="array" ref="BI35">IF(OR(SUM(IF(O36:W39&lt;(O41:W44+O46:W49),1,0)),SUM(IF(C36:K39&lt;(C41:K44+C46:K49),1,0)),SUM(IF(AA36:AI39&lt;(AA41:AI44+AA46:AI49),1,0)), SUM(IF(AM36:AU39&lt;(AM41:AU44+AM46:AU49),1,0)), SUM(IF(AY36:BG39&lt;(AY41:BG44+AY46:BG49),1,0))),"!! Check sum by sex for one or more columns/rows","")</f>
        <v/>
      </c>
      <c r="BK35" s="265"/>
    </row>
    <row r="36" spans="1:63" x14ac:dyDescent="0.2">
      <c r="A36" s="194"/>
      <c r="B36" s="195" t="s">
        <v>578</v>
      </c>
      <c r="C36" s="185"/>
      <c r="D36" s="126"/>
      <c r="E36" s="127"/>
      <c r="F36" s="127"/>
      <c r="G36" s="127"/>
      <c r="H36" s="127"/>
      <c r="I36" s="127"/>
      <c r="J36" s="127">
        <f t="shared" ref="J36" si="61">SUM(J37:J39)</f>
        <v>0</v>
      </c>
      <c r="K36" s="196">
        <f t="shared" ref="K36:K38" si="62">C36-SUM(D36:G36,H36:I36,J36)</f>
        <v>0</v>
      </c>
      <c r="M36" s="194"/>
      <c r="N36" s="195" t="s">
        <v>578</v>
      </c>
      <c r="O36" s="185"/>
      <c r="P36" s="126"/>
      <c r="Q36" s="127"/>
      <c r="R36" s="127"/>
      <c r="S36" s="127"/>
      <c r="T36" s="127"/>
      <c r="U36" s="127"/>
      <c r="V36" s="127">
        <f t="shared" ref="V36" si="63">SUM(V37:V39)</f>
        <v>0</v>
      </c>
      <c r="W36" s="196">
        <f t="shared" ref="W36:W38" si="64">O36-SUM(P36:S36,T36:U36,V36)</f>
        <v>0</v>
      </c>
      <c r="Y36" s="194"/>
      <c r="Z36" s="195" t="s">
        <v>578</v>
      </c>
      <c r="AA36" s="185"/>
      <c r="AB36" s="126"/>
      <c r="AC36" s="127"/>
      <c r="AD36" s="127"/>
      <c r="AE36" s="127"/>
      <c r="AF36" s="127"/>
      <c r="AG36" s="127"/>
      <c r="AH36" s="127">
        <f t="shared" ref="AH36" si="65">SUM(AH37:AH39)</f>
        <v>0</v>
      </c>
      <c r="AI36" s="196">
        <f t="shared" ref="AI36:AI38" si="66">AA36-SUM(AB36:AE36,AF36:AG36,AH36)</f>
        <v>0</v>
      </c>
      <c r="AK36" s="194"/>
      <c r="AL36" s="195" t="s">
        <v>578</v>
      </c>
      <c r="AM36" s="185"/>
      <c r="AN36" s="126"/>
      <c r="AO36" s="127"/>
      <c r="AP36" s="127"/>
      <c r="AQ36" s="127"/>
      <c r="AR36" s="127"/>
      <c r="AS36" s="127"/>
      <c r="AT36" s="127">
        <f t="shared" ref="AT36" si="67">SUM(AT37:AT39)</f>
        <v>0</v>
      </c>
      <c r="AU36" s="196">
        <f t="shared" ref="AU36:AU38" si="68">AM36-SUM(AN36:AQ36,AR36:AS36,AT36)</f>
        <v>0</v>
      </c>
      <c r="AW36" s="2"/>
      <c r="AX36" s="6" t="s">
        <v>578</v>
      </c>
      <c r="AY36" s="185"/>
      <c r="AZ36" s="126"/>
      <c r="BA36" s="127"/>
      <c r="BB36" s="127"/>
      <c r="BC36" s="127"/>
      <c r="BD36" s="127"/>
      <c r="BE36" s="127"/>
      <c r="BF36" s="127">
        <f t="shared" ref="BF36" si="69">SUM(BF37:BF39)</f>
        <v>0</v>
      </c>
      <c r="BG36" s="123">
        <f t="shared" ref="BG36:BG38" si="70">AY36-SUM(AZ36:BC36,BD36:BE36,BF36)</f>
        <v>0</v>
      </c>
      <c r="BI36" s="69" t="str">
        <f>IF(OR(K36&lt;0,W36&lt;0,AI36&lt;0,AU36&lt;0,BG36&lt;0),"!! Total must be &gt;= sum by situation",IF(OR(C36&lt;SUM(O36,AA36,AM36,AY36),D36&lt;SUM(P36,AB36,AN36,AZ36),E36&lt;SUM(Q36,AC36,AO36,BA36),F36&lt;SUM(R36,AD36,AP36,BB36),G36&lt;SUM(S36,AE36,AQ36,BC36),H36&lt;SUM(T36,AF36,AR36,BD36),I36&lt;SUM(U36,AG36,AS36,BE36),J36&lt;SUM(V36,AH36,AT36,BF36)),"!! Values in FU1 must be &gt;= sum of values in FU2 - FU5",""))</f>
        <v/>
      </c>
      <c r="BK36" s="265"/>
    </row>
    <row r="37" spans="1:63" x14ac:dyDescent="0.2">
      <c r="A37" s="194"/>
      <c r="B37" s="195" t="s">
        <v>6</v>
      </c>
      <c r="C37" s="185"/>
      <c r="D37" s="126"/>
      <c r="E37" s="127"/>
      <c r="F37" s="127"/>
      <c r="G37" s="127"/>
      <c r="H37" s="127"/>
      <c r="I37" s="127"/>
      <c r="J37" s="127">
        <v>0</v>
      </c>
      <c r="K37" s="196">
        <f t="shared" si="62"/>
        <v>0</v>
      </c>
      <c r="M37" s="194"/>
      <c r="N37" s="195" t="s">
        <v>6</v>
      </c>
      <c r="O37" s="185"/>
      <c r="P37" s="126"/>
      <c r="Q37" s="127"/>
      <c r="R37" s="127"/>
      <c r="S37" s="127"/>
      <c r="T37" s="127"/>
      <c r="U37" s="127"/>
      <c r="V37" s="127">
        <v>0</v>
      </c>
      <c r="W37" s="196">
        <f t="shared" si="64"/>
        <v>0</v>
      </c>
      <c r="Y37" s="194"/>
      <c r="Z37" s="195" t="s">
        <v>6</v>
      </c>
      <c r="AA37" s="185"/>
      <c r="AB37" s="126"/>
      <c r="AC37" s="127"/>
      <c r="AD37" s="127"/>
      <c r="AE37" s="127"/>
      <c r="AF37" s="127"/>
      <c r="AG37" s="127"/>
      <c r="AH37" s="127">
        <v>0</v>
      </c>
      <c r="AI37" s="196">
        <f t="shared" si="66"/>
        <v>0</v>
      </c>
      <c r="AK37" s="194"/>
      <c r="AL37" s="195" t="s">
        <v>6</v>
      </c>
      <c r="AM37" s="185"/>
      <c r="AN37" s="126"/>
      <c r="AO37" s="127"/>
      <c r="AP37" s="127"/>
      <c r="AQ37" s="127"/>
      <c r="AR37" s="127"/>
      <c r="AS37" s="127"/>
      <c r="AT37" s="127">
        <v>0</v>
      </c>
      <c r="AU37" s="196">
        <f t="shared" si="68"/>
        <v>0</v>
      </c>
      <c r="AW37" s="2"/>
      <c r="AX37" s="6" t="s">
        <v>6</v>
      </c>
      <c r="AY37" s="185"/>
      <c r="AZ37" s="126"/>
      <c r="BA37" s="127"/>
      <c r="BB37" s="127"/>
      <c r="BC37" s="127"/>
      <c r="BD37" s="127"/>
      <c r="BE37" s="127"/>
      <c r="BF37" s="127">
        <v>0</v>
      </c>
      <c r="BG37" s="123">
        <f t="shared" si="70"/>
        <v>0</v>
      </c>
      <c r="BI37" s="69" t="str">
        <f>IF(OR(K37&lt;0,W37&lt;0,AI37&lt;0,AU37&lt;0,BG37&lt;0),"!! Total must be &gt;= sum by situation",IF(OR(C37&lt;SUM(O37,AA37,AM37,AY37),D37&lt;SUM(P37,AB37,AN37,AZ37),E37&lt;SUM(Q37,AC37,AO37,BA37),F37&lt;SUM(R37,AD37,AP37,BB37),G37&lt;SUM(S37,AE37,AQ37,BC37),H37&lt;SUM(T37,AF37,AR37,BD37),I37&lt;SUM(U37,AG37,AS37,BE37),J37&lt;SUM(V37,AH37,AT37,BF37)),"!! Values in FU1 must be &gt;= sum of values in FU2 - FU5",""))</f>
        <v/>
      </c>
      <c r="BK37" s="265"/>
    </row>
    <row r="38" spans="1:63" x14ac:dyDescent="0.2">
      <c r="A38" s="194"/>
      <c r="B38" s="195" t="s">
        <v>7</v>
      </c>
      <c r="C38" s="185"/>
      <c r="D38" s="126"/>
      <c r="E38" s="126"/>
      <c r="F38" s="126"/>
      <c r="G38" s="126"/>
      <c r="H38" s="126"/>
      <c r="I38" s="126"/>
      <c r="J38" s="127">
        <v>0</v>
      </c>
      <c r="K38" s="196">
        <f t="shared" si="62"/>
        <v>0</v>
      </c>
      <c r="M38" s="194"/>
      <c r="N38" s="195" t="s">
        <v>7</v>
      </c>
      <c r="O38" s="185"/>
      <c r="P38" s="126"/>
      <c r="Q38" s="126"/>
      <c r="R38" s="126"/>
      <c r="S38" s="126"/>
      <c r="T38" s="126"/>
      <c r="U38" s="126"/>
      <c r="V38" s="127">
        <v>0</v>
      </c>
      <c r="W38" s="196">
        <f t="shared" si="64"/>
        <v>0</v>
      </c>
      <c r="Y38" s="194"/>
      <c r="Z38" s="195" t="s">
        <v>7</v>
      </c>
      <c r="AA38" s="185"/>
      <c r="AB38" s="126"/>
      <c r="AC38" s="126"/>
      <c r="AD38" s="126"/>
      <c r="AE38" s="126"/>
      <c r="AF38" s="126"/>
      <c r="AG38" s="126"/>
      <c r="AH38" s="127">
        <v>0</v>
      </c>
      <c r="AI38" s="196">
        <f t="shared" si="66"/>
        <v>0</v>
      </c>
      <c r="AK38" s="194"/>
      <c r="AL38" s="195" t="s">
        <v>7</v>
      </c>
      <c r="AM38" s="185"/>
      <c r="AN38" s="126"/>
      <c r="AO38" s="126"/>
      <c r="AP38" s="126"/>
      <c r="AQ38" s="126"/>
      <c r="AR38" s="126"/>
      <c r="AS38" s="126"/>
      <c r="AT38" s="127">
        <v>0</v>
      </c>
      <c r="AU38" s="196">
        <f t="shared" si="68"/>
        <v>0</v>
      </c>
      <c r="AW38" s="2"/>
      <c r="AX38" s="6" t="s">
        <v>7</v>
      </c>
      <c r="AY38" s="185"/>
      <c r="AZ38" s="126"/>
      <c r="BA38" s="126"/>
      <c r="BB38" s="126"/>
      <c r="BC38" s="126"/>
      <c r="BD38" s="126"/>
      <c r="BE38" s="126"/>
      <c r="BF38" s="127">
        <v>0</v>
      </c>
      <c r="BG38" s="123">
        <f t="shared" si="70"/>
        <v>0</v>
      </c>
      <c r="BI38" s="69" t="str">
        <f t="shared" ref="BI38:BI39" si="71">IF(OR(K38&lt;0,W38&lt;0,AI38&lt;0,AU38&lt;0,BG38&lt;0),"!! Total must be &gt;= sum by situation",IF(OR(C38&lt;SUM(O38,AA38,AM38,AY38),D38&lt;SUM(P38,AB38,AN38,AZ38),E38&lt;SUM(Q38,AC38,AO38,BA38),F38&lt;SUM(R38,AD38,AP38,BB38),G38&lt;SUM(S38,AE38,AQ38,BC38),H38&lt;SUM(T38,AF38,AR38,BD38),I38&lt;SUM(U38,AG38,AS38,BE38),J38&lt;SUM(V38,AH38,AT38,BF38)),"!! Values in FU1 must be &gt;= sum of values in FU2 - FU5",""))</f>
        <v/>
      </c>
      <c r="BK38" s="265"/>
    </row>
    <row r="39" spans="1:63" x14ac:dyDescent="0.2">
      <c r="A39" s="194"/>
      <c r="B39" s="195" t="s">
        <v>577</v>
      </c>
      <c r="C39" s="185"/>
      <c r="D39" s="126"/>
      <c r="E39" s="127"/>
      <c r="F39" s="127"/>
      <c r="G39" s="127"/>
      <c r="H39" s="127"/>
      <c r="I39" s="127"/>
      <c r="J39" s="127">
        <v>0</v>
      </c>
      <c r="K39" s="196">
        <f>C39-SUM(D39:G39,H39:I39,J39)</f>
        <v>0</v>
      </c>
      <c r="M39" s="194"/>
      <c r="N39" s="195" t="s">
        <v>577</v>
      </c>
      <c r="O39" s="185"/>
      <c r="P39" s="126"/>
      <c r="Q39" s="127"/>
      <c r="R39" s="127"/>
      <c r="S39" s="127"/>
      <c r="T39" s="127"/>
      <c r="U39" s="127"/>
      <c r="V39" s="127">
        <v>0</v>
      </c>
      <c r="W39" s="196">
        <f>O39-SUM(P39:S39,T39:U39,V39)</f>
        <v>0</v>
      </c>
      <c r="Y39" s="194"/>
      <c r="Z39" s="195" t="s">
        <v>577</v>
      </c>
      <c r="AA39" s="185"/>
      <c r="AB39" s="126"/>
      <c r="AC39" s="127"/>
      <c r="AD39" s="127"/>
      <c r="AE39" s="127"/>
      <c r="AF39" s="127"/>
      <c r="AG39" s="127"/>
      <c r="AH39" s="127">
        <v>0</v>
      </c>
      <c r="AI39" s="196">
        <f>AA39-SUM(AB39:AE39,AF39:AG39,AH39)</f>
        <v>0</v>
      </c>
      <c r="AK39" s="194"/>
      <c r="AL39" s="195" t="s">
        <v>577</v>
      </c>
      <c r="AM39" s="185"/>
      <c r="AN39" s="126"/>
      <c r="AO39" s="127"/>
      <c r="AP39" s="127"/>
      <c r="AQ39" s="127"/>
      <c r="AR39" s="127"/>
      <c r="AS39" s="127"/>
      <c r="AT39" s="127">
        <v>0</v>
      </c>
      <c r="AU39" s="196">
        <f>AM39-SUM(AN39:AQ39,AR39:AS39,AT39)</f>
        <v>0</v>
      </c>
      <c r="AW39" s="2"/>
      <c r="AX39" s="6" t="s">
        <v>577</v>
      </c>
      <c r="AY39" s="185"/>
      <c r="AZ39" s="126"/>
      <c r="BA39" s="127"/>
      <c r="BB39" s="127"/>
      <c r="BC39" s="127"/>
      <c r="BD39" s="127"/>
      <c r="BE39" s="127"/>
      <c r="BF39" s="127">
        <v>0</v>
      </c>
      <c r="BG39" s="123">
        <f>AY39-SUM(AZ39:BC39,BD39:BE39,BF39)</f>
        <v>0</v>
      </c>
      <c r="BI39" s="69" t="str">
        <f t="shared" si="71"/>
        <v/>
      </c>
      <c r="BK39" s="265"/>
    </row>
    <row r="40" spans="1:63" x14ac:dyDescent="0.2">
      <c r="A40" s="183" t="s">
        <v>4</v>
      </c>
      <c r="B40" s="179"/>
      <c r="C40" s="172" t="str">
        <f>C$18</f>
        <v>Total</v>
      </c>
      <c r="D40" s="180" t="str">
        <f>D$18</f>
        <v>Employment</v>
      </c>
      <c r="E40" s="180" t="str">
        <f t="shared" ref="E40:J40" si="72">E$18</f>
        <v>Education</v>
      </c>
      <c r="F40" s="180" t="str">
        <f t="shared" si="72"/>
        <v>Apprenticeship</v>
      </c>
      <c r="G40" s="180" t="str">
        <f t="shared" si="72"/>
        <v>Traineeship</v>
      </c>
      <c r="H40" s="180" t="str">
        <f t="shared" si="72"/>
        <v>Unemployment</v>
      </c>
      <c r="I40" s="180" t="str">
        <f t="shared" si="72"/>
        <v>Inactivity</v>
      </c>
      <c r="J40" s="180" t="str">
        <f t="shared" si="72"/>
        <v>Not applicable</v>
      </c>
      <c r="K40" s="182" t="str">
        <f t="shared" ref="K40" si="73">K$18</f>
        <v>Unknown</v>
      </c>
      <c r="M40" s="183" t="s">
        <v>4</v>
      </c>
      <c r="N40" s="179"/>
      <c r="O40" s="172" t="str">
        <f>O$18</f>
        <v>Total</v>
      </c>
      <c r="P40" s="180" t="str">
        <f>P$18</f>
        <v>Employment</v>
      </c>
      <c r="Q40" s="180" t="str">
        <f t="shared" ref="Q40:V40" si="74">Q$18</f>
        <v>Education</v>
      </c>
      <c r="R40" s="180" t="str">
        <f t="shared" si="74"/>
        <v>Apprenticeship</v>
      </c>
      <c r="S40" s="180" t="str">
        <f t="shared" si="74"/>
        <v>Traineeship</v>
      </c>
      <c r="T40" s="180" t="str">
        <f t="shared" si="74"/>
        <v>Unemployment</v>
      </c>
      <c r="U40" s="180" t="str">
        <f t="shared" si="74"/>
        <v>Inactivity</v>
      </c>
      <c r="V40" s="180" t="str">
        <f t="shared" si="74"/>
        <v>Not applicable</v>
      </c>
      <c r="W40" s="182" t="str">
        <f t="shared" ref="W40" si="75">W$18</f>
        <v>Unknown</v>
      </c>
      <c r="Y40" s="183" t="s">
        <v>4</v>
      </c>
      <c r="Z40" s="179"/>
      <c r="AA40" s="172" t="str">
        <f>AA$18</f>
        <v>Total</v>
      </c>
      <c r="AB40" s="180" t="str">
        <f>AB$18</f>
        <v>Employment</v>
      </c>
      <c r="AC40" s="180" t="str">
        <f t="shared" ref="AC40:AH40" si="76">AC$18</f>
        <v>Education</v>
      </c>
      <c r="AD40" s="180" t="str">
        <f t="shared" si="76"/>
        <v>Apprenticeship</v>
      </c>
      <c r="AE40" s="180" t="str">
        <f t="shared" si="76"/>
        <v>Traineeship</v>
      </c>
      <c r="AF40" s="180" t="str">
        <f t="shared" si="76"/>
        <v>Unemployment</v>
      </c>
      <c r="AG40" s="180" t="str">
        <f t="shared" si="76"/>
        <v>Inactivity</v>
      </c>
      <c r="AH40" s="180" t="str">
        <f t="shared" si="76"/>
        <v>Not applicable</v>
      </c>
      <c r="AI40" s="182" t="str">
        <f t="shared" ref="AI40" si="77">AI$18</f>
        <v>Unknown</v>
      </c>
      <c r="AK40" s="183" t="s">
        <v>4</v>
      </c>
      <c r="AL40" s="179"/>
      <c r="AM40" s="172" t="str">
        <f>AM$18</f>
        <v>Total</v>
      </c>
      <c r="AN40" s="180" t="str">
        <f>AN$18</f>
        <v>Employment</v>
      </c>
      <c r="AO40" s="180" t="str">
        <f t="shared" ref="AO40:AT40" si="78">AO$18</f>
        <v>Education</v>
      </c>
      <c r="AP40" s="180" t="str">
        <f t="shared" si="78"/>
        <v>Apprenticeship</v>
      </c>
      <c r="AQ40" s="180" t="str">
        <f t="shared" si="78"/>
        <v>Traineeship</v>
      </c>
      <c r="AR40" s="180" t="str">
        <f t="shared" si="78"/>
        <v>Unemployment</v>
      </c>
      <c r="AS40" s="180" t="str">
        <f t="shared" si="78"/>
        <v>Inactivity</v>
      </c>
      <c r="AT40" s="180" t="str">
        <f t="shared" si="78"/>
        <v>Not applicable</v>
      </c>
      <c r="AU40" s="182" t="str">
        <f t="shared" ref="AU40" si="79">AU$18</f>
        <v>Unknown</v>
      </c>
      <c r="AW40" s="183" t="s">
        <v>4</v>
      </c>
      <c r="AX40" s="179"/>
      <c r="AY40" s="172" t="str">
        <f>AY$18</f>
        <v>Total</v>
      </c>
      <c r="AZ40" s="180" t="str">
        <f>AZ$18</f>
        <v>Employment</v>
      </c>
      <c r="BA40" s="180" t="str">
        <f t="shared" ref="BA40:BF40" si="80">BA$18</f>
        <v>Education</v>
      </c>
      <c r="BB40" s="180" t="str">
        <f t="shared" si="80"/>
        <v>Apprenticeship</v>
      </c>
      <c r="BC40" s="180" t="str">
        <f t="shared" si="80"/>
        <v>Traineeship</v>
      </c>
      <c r="BD40" s="180" t="str">
        <f t="shared" si="80"/>
        <v>Unemployment</v>
      </c>
      <c r="BE40" s="180" t="str">
        <f t="shared" si="80"/>
        <v>Inactivity</v>
      </c>
      <c r="BF40" s="180" t="str">
        <f t="shared" si="80"/>
        <v>Not applicable</v>
      </c>
      <c r="BG40" s="182" t="str">
        <f t="shared" ref="BG40" si="81">BG$18</f>
        <v>Unknown</v>
      </c>
      <c r="BI40" s="69"/>
      <c r="BK40" s="265"/>
    </row>
    <row r="41" spans="1:63" x14ac:dyDescent="0.2">
      <c r="A41" s="194"/>
      <c r="B41" s="195" t="s">
        <v>578</v>
      </c>
      <c r="C41" s="185"/>
      <c r="D41" s="126"/>
      <c r="E41" s="127"/>
      <c r="F41" s="127"/>
      <c r="G41" s="127"/>
      <c r="H41" s="127"/>
      <c r="I41" s="127"/>
      <c r="J41" s="127">
        <f t="shared" ref="J41" si="82">SUM(J42:J44)</f>
        <v>0</v>
      </c>
      <c r="K41" s="196">
        <f t="shared" ref="K41:K44" si="83">C41-SUM(D41:G41,H41:I41,J41)</f>
        <v>0</v>
      </c>
      <c r="M41" s="194"/>
      <c r="N41" s="195" t="s">
        <v>578</v>
      </c>
      <c r="O41" s="185"/>
      <c r="P41" s="126"/>
      <c r="Q41" s="127"/>
      <c r="R41" s="127"/>
      <c r="S41" s="127"/>
      <c r="T41" s="127"/>
      <c r="U41" s="127"/>
      <c r="V41" s="127">
        <f t="shared" ref="V41" si="84">SUM(V42:V44)</f>
        <v>0</v>
      </c>
      <c r="W41" s="196">
        <f t="shared" ref="W41:W44" si="85">O41-SUM(P41:S41,T41:U41,V41)</f>
        <v>0</v>
      </c>
      <c r="Y41" s="194"/>
      <c r="Z41" s="195" t="s">
        <v>578</v>
      </c>
      <c r="AA41" s="185"/>
      <c r="AB41" s="126"/>
      <c r="AC41" s="127"/>
      <c r="AD41" s="127"/>
      <c r="AE41" s="127"/>
      <c r="AF41" s="127"/>
      <c r="AG41" s="127"/>
      <c r="AH41" s="127">
        <f t="shared" ref="AH41" si="86">SUM(AH42:AH44)</f>
        <v>0</v>
      </c>
      <c r="AI41" s="196">
        <f t="shared" ref="AI41:AI44" si="87">AA41-SUM(AB41:AE41,AF41:AG41,AH41)</f>
        <v>0</v>
      </c>
      <c r="AK41" s="194"/>
      <c r="AL41" s="195" t="s">
        <v>578</v>
      </c>
      <c r="AM41" s="185"/>
      <c r="AN41" s="126"/>
      <c r="AO41" s="127"/>
      <c r="AP41" s="127"/>
      <c r="AQ41" s="127"/>
      <c r="AR41" s="127"/>
      <c r="AS41" s="127"/>
      <c r="AT41" s="127">
        <f t="shared" ref="AT41" si="88">SUM(AT42:AT44)</f>
        <v>0</v>
      </c>
      <c r="AU41" s="196">
        <f t="shared" ref="AU41:AU44" si="89">AM41-SUM(AN41:AQ41,AR41:AS41,AT41)</f>
        <v>0</v>
      </c>
      <c r="AW41" s="2"/>
      <c r="AX41" s="6" t="s">
        <v>578</v>
      </c>
      <c r="AY41" s="185"/>
      <c r="AZ41" s="126"/>
      <c r="BA41" s="127"/>
      <c r="BB41" s="127"/>
      <c r="BC41" s="127"/>
      <c r="BD41" s="127"/>
      <c r="BE41" s="127"/>
      <c r="BF41" s="127">
        <f t="shared" ref="BF41" si="90">SUM(BF42:BF44)</f>
        <v>0</v>
      </c>
      <c r="BG41" s="123">
        <f t="shared" ref="BG41:BG44" si="91">AY41-SUM(AZ41:BC41,BD41:BE41,BF41)</f>
        <v>0</v>
      </c>
      <c r="BI41" s="69" t="str">
        <f>IF(OR(K41&lt;0,W41&lt;0,AI41&lt;0,AU41&lt;0,BG41&lt;0),"!! Total must be &gt;= sum by situation",IF(OR(C41&lt;SUM(O41,AA41,AM41,AY41),D41&lt;SUM(P41,AB41,AN41,AZ41),E41&lt;SUM(Q41,AC41,AO41,BA41),F41&lt;SUM(R41,AD41,AP41,BB41),G41&lt;SUM(S41,AE41,AQ41,BC41),H41&lt;SUM(T41,AF41,AR41,BD41),I41&lt;SUM(U41,AG41,AS41,BE41),J41&lt;SUM(V41,AH41,AT41,BF41)),"!! Values in FU1 must be &gt;= sum of values in FU2 - FU5",""))</f>
        <v/>
      </c>
      <c r="BK41" s="265"/>
    </row>
    <row r="42" spans="1:63" x14ac:dyDescent="0.2">
      <c r="A42" s="194"/>
      <c r="B42" s="195" t="s">
        <v>6</v>
      </c>
      <c r="C42" s="185"/>
      <c r="D42" s="126"/>
      <c r="E42" s="127"/>
      <c r="F42" s="127"/>
      <c r="G42" s="127"/>
      <c r="H42" s="127"/>
      <c r="I42" s="127"/>
      <c r="J42" s="127">
        <v>0</v>
      </c>
      <c r="K42" s="196">
        <f t="shared" si="83"/>
        <v>0</v>
      </c>
      <c r="M42" s="194"/>
      <c r="N42" s="195" t="s">
        <v>6</v>
      </c>
      <c r="O42" s="185"/>
      <c r="P42" s="126"/>
      <c r="Q42" s="127"/>
      <c r="R42" s="127"/>
      <c r="S42" s="127"/>
      <c r="T42" s="127"/>
      <c r="U42" s="127"/>
      <c r="V42" s="127">
        <v>0</v>
      </c>
      <c r="W42" s="196">
        <f t="shared" si="85"/>
        <v>0</v>
      </c>
      <c r="Y42" s="194"/>
      <c r="Z42" s="195" t="s">
        <v>6</v>
      </c>
      <c r="AA42" s="185"/>
      <c r="AB42" s="126"/>
      <c r="AC42" s="127"/>
      <c r="AD42" s="127"/>
      <c r="AE42" s="127"/>
      <c r="AF42" s="127"/>
      <c r="AG42" s="127"/>
      <c r="AH42" s="127">
        <v>0</v>
      </c>
      <c r="AI42" s="196">
        <f t="shared" si="87"/>
        <v>0</v>
      </c>
      <c r="AK42" s="194"/>
      <c r="AL42" s="195" t="s">
        <v>6</v>
      </c>
      <c r="AM42" s="185"/>
      <c r="AN42" s="126"/>
      <c r="AO42" s="127"/>
      <c r="AP42" s="127"/>
      <c r="AQ42" s="127"/>
      <c r="AR42" s="127"/>
      <c r="AS42" s="127"/>
      <c r="AT42" s="127">
        <v>0</v>
      </c>
      <c r="AU42" s="196">
        <f t="shared" si="89"/>
        <v>0</v>
      </c>
      <c r="AW42" s="2"/>
      <c r="AX42" s="6" t="s">
        <v>6</v>
      </c>
      <c r="AY42" s="185"/>
      <c r="AZ42" s="126"/>
      <c r="BA42" s="127"/>
      <c r="BB42" s="127"/>
      <c r="BC42" s="127"/>
      <c r="BD42" s="127"/>
      <c r="BE42" s="127"/>
      <c r="BF42" s="127">
        <v>0</v>
      </c>
      <c r="BG42" s="123">
        <f t="shared" si="91"/>
        <v>0</v>
      </c>
      <c r="BI42" s="69" t="str">
        <f>IF(OR(K42&lt;0,W42&lt;0,AI42&lt;0,AU42&lt;0,BG42&lt;0),"!! Total must be &gt;= sum by situation",IF(OR(C42&lt;SUM(O42,AA42,AM42,AY42),D42&lt;SUM(P42,AB42,AN42,AZ42),E42&lt;SUM(Q42,AC42,AO42,BA42),F42&lt;SUM(R42,AD42,AP42,BB42),G42&lt;SUM(S42,AE42,AQ42,BC42),H42&lt;SUM(T42,AF42,AR42,BD42),I42&lt;SUM(U42,AG42,AS42,BE42),J42&lt;SUM(V42,AH42,AT42,BF42)),"!! Values in FU1 must be &gt;= sum of values in FU2 - FU5",""))</f>
        <v/>
      </c>
      <c r="BK42" s="265"/>
    </row>
    <row r="43" spans="1:63" x14ac:dyDescent="0.2">
      <c r="A43" s="194"/>
      <c r="B43" s="195" t="s">
        <v>7</v>
      </c>
      <c r="C43" s="185"/>
      <c r="D43" s="126"/>
      <c r="E43" s="126"/>
      <c r="F43" s="126"/>
      <c r="G43" s="126"/>
      <c r="H43" s="126"/>
      <c r="I43" s="126"/>
      <c r="J43" s="127">
        <v>0</v>
      </c>
      <c r="K43" s="196">
        <f t="shared" si="83"/>
        <v>0</v>
      </c>
      <c r="M43" s="194"/>
      <c r="N43" s="195" t="s">
        <v>7</v>
      </c>
      <c r="O43" s="185"/>
      <c r="P43" s="126"/>
      <c r="Q43" s="126"/>
      <c r="R43" s="126"/>
      <c r="S43" s="126"/>
      <c r="T43" s="126"/>
      <c r="U43" s="126"/>
      <c r="V43" s="127">
        <v>0</v>
      </c>
      <c r="W43" s="196">
        <f t="shared" si="85"/>
        <v>0</v>
      </c>
      <c r="Y43" s="194"/>
      <c r="Z43" s="195" t="s">
        <v>7</v>
      </c>
      <c r="AA43" s="185"/>
      <c r="AB43" s="126"/>
      <c r="AC43" s="126"/>
      <c r="AD43" s="126"/>
      <c r="AE43" s="126"/>
      <c r="AF43" s="126"/>
      <c r="AG43" s="126"/>
      <c r="AH43" s="127">
        <v>0</v>
      </c>
      <c r="AI43" s="196">
        <f t="shared" si="87"/>
        <v>0</v>
      </c>
      <c r="AK43" s="194"/>
      <c r="AL43" s="195" t="s">
        <v>7</v>
      </c>
      <c r="AM43" s="185"/>
      <c r="AN43" s="126"/>
      <c r="AO43" s="126"/>
      <c r="AP43" s="126"/>
      <c r="AQ43" s="126"/>
      <c r="AR43" s="126"/>
      <c r="AS43" s="126"/>
      <c r="AT43" s="127">
        <v>0</v>
      </c>
      <c r="AU43" s="196">
        <f t="shared" si="89"/>
        <v>0</v>
      </c>
      <c r="AW43" s="2"/>
      <c r="AX43" s="6" t="s">
        <v>7</v>
      </c>
      <c r="AY43" s="185"/>
      <c r="AZ43" s="126"/>
      <c r="BA43" s="126"/>
      <c r="BB43" s="126"/>
      <c r="BC43" s="126"/>
      <c r="BD43" s="126"/>
      <c r="BE43" s="126"/>
      <c r="BF43" s="127">
        <v>0</v>
      </c>
      <c r="BG43" s="123">
        <f t="shared" si="91"/>
        <v>0</v>
      </c>
      <c r="BI43" s="69" t="str">
        <f t="shared" ref="BI43:BI44" si="92">IF(OR(K43&lt;0,W43&lt;0,AI43&lt;0,AU43&lt;0,BG43&lt;0),"!! Total must be &gt;= sum by situation",IF(OR(C43&lt;SUM(O43,AA43,AM43,AY43),D43&lt;SUM(P43,AB43,AN43,AZ43),E43&lt;SUM(Q43,AC43,AO43,BA43),F43&lt;SUM(R43,AD43,AP43,BB43),G43&lt;SUM(S43,AE43,AQ43,BC43),H43&lt;SUM(T43,AF43,AR43,BD43),I43&lt;SUM(U43,AG43,AS43,BE43),J43&lt;SUM(V43,AH43,AT43,BF43)),"!! Values in FU1 must be &gt;= sum of values in FU2 - FU5",""))</f>
        <v/>
      </c>
      <c r="BK43" s="265"/>
    </row>
    <row r="44" spans="1:63" x14ac:dyDescent="0.2">
      <c r="A44" s="194"/>
      <c r="B44" s="195" t="s">
        <v>577</v>
      </c>
      <c r="C44" s="185"/>
      <c r="D44" s="126"/>
      <c r="E44" s="127"/>
      <c r="F44" s="127"/>
      <c r="G44" s="127"/>
      <c r="H44" s="127"/>
      <c r="I44" s="127"/>
      <c r="J44" s="127">
        <v>0</v>
      </c>
      <c r="K44" s="196">
        <f t="shared" si="83"/>
        <v>0</v>
      </c>
      <c r="M44" s="194"/>
      <c r="N44" s="195" t="s">
        <v>577</v>
      </c>
      <c r="O44" s="185"/>
      <c r="P44" s="126"/>
      <c r="Q44" s="127"/>
      <c r="R44" s="127"/>
      <c r="S44" s="127"/>
      <c r="T44" s="127"/>
      <c r="U44" s="127"/>
      <c r="V44" s="127">
        <v>0</v>
      </c>
      <c r="W44" s="196">
        <f t="shared" si="85"/>
        <v>0</v>
      </c>
      <c r="Y44" s="194"/>
      <c r="Z44" s="195" t="s">
        <v>577</v>
      </c>
      <c r="AA44" s="185"/>
      <c r="AB44" s="126"/>
      <c r="AC44" s="127"/>
      <c r="AD44" s="127"/>
      <c r="AE44" s="127"/>
      <c r="AF44" s="127"/>
      <c r="AG44" s="127"/>
      <c r="AH44" s="127">
        <v>0</v>
      </c>
      <c r="AI44" s="196">
        <f t="shared" si="87"/>
        <v>0</v>
      </c>
      <c r="AK44" s="194"/>
      <c r="AL44" s="195" t="s">
        <v>577</v>
      </c>
      <c r="AM44" s="185"/>
      <c r="AN44" s="126"/>
      <c r="AO44" s="127"/>
      <c r="AP44" s="127"/>
      <c r="AQ44" s="127"/>
      <c r="AR44" s="127"/>
      <c r="AS44" s="127"/>
      <c r="AT44" s="127">
        <v>0</v>
      </c>
      <c r="AU44" s="196">
        <f t="shared" si="89"/>
        <v>0</v>
      </c>
      <c r="AW44" s="2"/>
      <c r="AX44" s="6" t="s">
        <v>577</v>
      </c>
      <c r="AY44" s="185"/>
      <c r="AZ44" s="126"/>
      <c r="BA44" s="127"/>
      <c r="BB44" s="127"/>
      <c r="BC44" s="127"/>
      <c r="BD44" s="127"/>
      <c r="BE44" s="127"/>
      <c r="BF44" s="127">
        <v>0</v>
      </c>
      <c r="BG44" s="123">
        <f t="shared" si="91"/>
        <v>0</v>
      </c>
      <c r="BI44" s="69" t="str">
        <f t="shared" si="92"/>
        <v/>
      </c>
      <c r="BK44" s="265"/>
    </row>
    <row r="45" spans="1:63" x14ac:dyDescent="0.2">
      <c r="A45" s="183" t="s">
        <v>5</v>
      </c>
      <c r="B45" s="179"/>
      <c r="C45" s="172" t="str">
        <f>C$18</f>
        <v>Total</v>
      </c>
      <c r="D45" s="180" t="str">
        <f>D$18</f>
        <v>Employment</v>
      </c>
      <c r="E45" s="180" t="str">
        <f t="shared" ref="E45:J45" si="93">E$18</f>
        <v>Education</v>
      </c>
      <c r="F45" s="180" t="str">
        <f t="shared" si="93"/>
        <v>Apprenticeship</v>
      </c>
      <c r="G45" s="180" t="str">
        <f t="shared" si="93"/>
        <v>Traineeship</v>
      </c>
      <c r="H45" s="180" t="str">
        <f t="shared" si="93"/>
        <v>Unemployment</v>
      </c>
      <c r="I45" s="180" t="str">
        <f t="shared" si="93"/>
        <v>Inactivity</v>
      </c>
      <c r="J45" s="180" t="str">
        <f t="shared" si="93"/>
        <v>Not applicable</v>
      </c>
      <c r="K45" s="182" t="str">
        <f t="shared" ref="K45" si="94">K$18</f>
        <v>Unknown</v>
      </c>
      <c r="M45" s="183" t="s">
        <v>5</v>
      </c>
      <c r="N45" s="179"/>
      <c r="O45" s="172" t="str">
        <f>O$18</f>
        <v>Total</v>
      </c>
      <c r="P45" s="180" t="str">
        <f>P$18</f>
        <v>Employment</v>
      </c>
      <c r="Q45" s="180" t="str">
        <f t="shared" ref="Q45:V45" si="95">Q$18</f>
        <v>Education</v>
      </c>
      <c r="R45" s="180" t="str">
        <f t="shared" si="95"/>
        <v>Apprenticeship</v>
      </c>
      <c r="S45" s="180" t="str">
        <f t="shared" si="95"/>
        <v>Traineeship</v>
      </c>
      <c r="T45" s="180" t="str">
        <f t="shared" si="95"/>
        <v>Unemployment</v>
      </c>
      <c r="U45" s="180" t="str">
        <f t="shared" si="95"/>
        <v>Inactivity</v>
      </c>
      <c r="V45" s="180" t="str">
        <f t="shared" si="95"/>
        <v>Not applicable</v>
      </c>
      <c r="W45" s="182" t="str">
        <f t="shared" ref="W45" si="96">W$18</f>
        <v>Unknown</v>
      </c>
      <c r="Y45" s="183" t="s">
        <v>5</v>
      </c>
      <c r="Z45" s="179"/>
      <c r="AA45" s="172" t="str">
        <f>AA$18</f>
        <v>Total</v>
      </c>
      <c r="AB45" s="180" t="str">
        <f>AB$18</f>
        <v>Employment</v>
      </c>
      <c r="AC45" s="180" t="str">
        <f t="shared" ref="AC45:AH45" si="97">AC$18</f>
        <v>Education</v>
      </c>
      <c r="AD45" s="180" t="str">
        <f t="shared" si="97"/>
        <v>Apprenticeship</v>
      </c>
      <c r="AE45" s="180" t="str">
        <f t="shared" si="97"/>
        <v>Traineeship</v>
      </c>
      <c r="AF45" s="180" t="str">
        <f t="shared" si="97"/>
        <v>Unemployment</v>
      </c>
      <c r="AG45" s="180" t="str">
        <f t="shared" si="97"/>
        <v>Inactivity</v>
      </c>
      <c r="AH45" s="180" t="str">
        <f t="shared" si="97"/>
        <v>Not applicable</v>
      </c>
      <c r="AI45" s="182" t="str">
        <f t="shared" ref="AI45" si="98">AI$18</f>
        <v>Unknown</v>
      </c>
      <c r="AK45" s="183" t="s">
        <v>5</v>
      </c>
      <c r="AL45" s="179"/>
      <c r="AM45" s="172" t="str">
        <f>AM$18</f>
        <v>Total</v>
      </c>
      <c r="AN45" s="180" t="str">
        <f>AN$18</f>
        <v>Employment</v>
      </c>
      <c r="AO45" s="180" t="str">
        <f t="shared" ref="AO45:AT45" si="99">AO$18</f>
        <v>Education</v>
      </c>
      <c r="AP45" s="180" t="str">
        <f t="shared" si="99"/>
        <v>Apprenticeship</v>
      </c>
      <c r="AQ45" s="180" t="str">
        <f t="shared" si="99"/>
        <v>Traineeship</v>
      </c>
      <c r="AR45" s="180" t="str">
        <f t="shared" si="99"/>
        <v>Unemployment</v>
      </c>
      <c r="AS45" s="180" t="str">
        <f t="shared" si="99"/>
        <v>Inactivity</v>
      </c>
      <c r="AT45" s="180" t="str">
        <f t="shared" si="99"/>
        <v>Not applicable</v>
      </c>
      <c r="AU45" s="182" t="str">
        <f t="shared" ref="AU45" si="100">AU$18</f>
        <v>Unknown</v>
      </c>
      <c r="AW45" s="183" t="s">
        <v>5</v>
      </c>
      <c r="AX45" s="179"/>
      <c r="AY45" s="172" t="str">
        <f>AY$18</f>
        <v>Total</v>
      </c>
      <c r="AZ45" s="180" t="str">
        <f>AZ$18</f>
        <v>Employment</v>
      </c>
      <c r="BA45" s="180" t="str">
        <f t="shared" ref="BA45:BF45" si="101">BA$18</f>
        <v>Education</v>
      </c>
      <c r="BB45" s="180" t="str">
        <f t="shared" si="101"/>
        <v>Apprenticeship</v>
      </c>
      <c r="BC45" s="180" t="str">
        <f t="shared" si="101"/>
        <v>Traineeship</v>
      </c>
      <c r="BD45" s="180" t="str">
        <f t="shared" si="101"/>
        <v>Unemployment</v>
      </c>
      <c r="BE45" s="180" t="str">
        <f t="shared" si="101"/>
        <v>Inactivity</v>
      </c>
      <c r="BF45" s="180" t="str">
        <f t="shared" si="101"/>
        <v>Not applicable</v>
      </c>
      <c r="BG45" s="182" t="str">
        <f t="shared" ref="BG45" si="102">BG$18</f>
        <v>Unknown</v>
      </c>
      <c r="BI45" s="69"/>
      <c r="BK45" s="265"/>
    </row>
    <row r="46" spans="1:63" x14ac:dyDescent="0.2">
      <c r="A46" s="194"/>
      <c r="B46" s="195" t="s">
        <v>578</v>
      </c>
      <c r="C46" s="185"/>
      <c r="D46" s="126"/>
      <c r="E46" s="127"/>
      <c r="F46" s="127"/>
      <c r="G46" s="127"/>
      <c r="H46" s="127"/>
      <c r="I46" s="127"/>
      <c r="J46" s="127">
        <f t="shared" ref="J46" si="103">SUM(J47:J49)</f>
        <v>0</v>
      </c>
      <c r="K46" s="196">
        <f t="shared" ref="K46:K49" si="104">C46-SUM(D46:G46,H46:I46,J46)</f>
        <v>0</v>
      </c>
      <c r="M46" s="194"/>
      <c r="N46" s="195" t="s">
        <v>578</v>
      </c>
      <c r="O46" s="185"/>
      <c r="P46" s="126"/>
      <c r="Q46" s="127"/>
      <c r="R46" s="127"/>
      <c r="S46" s="127"/>
      <c r="T46" s="127"/>
      <c r="U46" s="127"/>
      <c r="V46" s="127"/>
      <c r="W46" s="196">
        <f t="shared" ref="W46:W49" si="105">O46-SUM(P46:S46,T46:U46,V46)</f>
        <v>0</v>
      </c>
      <c r="Y46" s="194"/>
      <c r="Z46" s="195" t="s">
        <v>578</v>
      </c>
      <c r="AA46" s="185"/>
      <c r="AB46" s="126"/>
      <c r="AC46" s="127"/>
      <c r="AD46" s="127"/>
      <c r="AE46" s="127"/>
      <c r="AF46" s="127"/>
      <c r="AG46" s="127"/>
      <c r="AH46" s="127">
        <f t="shared" ref="AH46" si="106">SUM(AH47:AH49)</f>
        <v>0</v>
      </c>
      <c r="AI46" s="196">
        <f t="shared" ref="AI46:AI49" si="107">AA46-SUM(AB46:AE46,AF46:AG46,AH46)</f>
        <v>0</v>
      </c>
      <c r="AK46" s="194"/>
      <c r="AL46" s="195" t="s">
        <v>578</v>
      </c>
      <c r="AM46" s="185"/>
      <c r="AN46" s="126"/>
      <c r="AO46" s="127"/>
      <c r="AP46" s="127"/>
      <c r="AQ46" s="127"/>
      <c r="AR46" s="127"/>
      <c r="AS46" s="127"/>
      <c r="AT46" s="127">
        <f t="shared" ref="AT46" si="108">SUM(AT47:AT49)</f>
        <v>0</v>
      </c>
      <c r="AU46" s="196">
        <f t="shared" ref="AU46:AU49" si="109">AM46-SUM(AN46:AQ46,AR46:AS46,AT46)</f>
        <v>0</v>
      </c>
      <c r="AW46" s="2"/>
      <c r="AX46" s="6" t="s">
        <v>578</v>
      </c>
      <c r="AY46" s="185"/>
      <c r="AZ46" s="126"/>
      <c r="BA46" s="127"/>
      <c r="BB46" s="127"/>
      <c r="BC46" s="127"/>
      <c r="BD46" s="127"/>
      <c r="BE46" s="127"/>
      <c r="BF46" s="127">
        <f t="shared" ref="BF46" si="110">SUM(BF47:BF49)</f>
        <v>0</v>
      </c>
      <c r="BG46" s="123">
        <f t="shared" ref="BG46:BG49" si="111">AY46-SUM(AZ46:BC46,BD46:BE46,BF46)</f>
        <v>0</v>
      </c>
      <c r="BI46" s="69" t="str">
        <f>IF(OR(K46&lt;0,W46&lt;0,AI46&lt;0,AU46&lt;0,BG46&lt;0),"!! Total must be &gt;= sum by situation",IF(OR(C46&lt;SUM(O46,AA46,AM46,AY46),D46&lt;SUM(P46,AB46,AN46,AZ46),E46&lt;SUM(Q46,AC46,AO46,BA46),F46&lt;SUM(R46,AD46,AP46,BB46),G46&lt;SUM(S46,AE46,AQ46,BC46),H46&lt;SUM(T46,AF46,AR46,BD46),I46&lt;SUM(U46,AG46,AS46,BE46),J46&lt;SUM(V46,AH46,AT46,BF46)),"!! Values in FU1 must be &gt;= sum of values in FU2 - FU5",""))</f>
        <v/>
      </c>
      <c r="BK46" s="265"/>
    </row>
    <row r="47" spans="1:63" x14ac:dyDescent="0.2">
      <c r="A47" s="194"/>
      <c r="B47" s="195" t="s">
        <v>6</v>
      </c>
      <c r="C47" s="185"/>
      <c r="D47" s="126"/>
      <c r="E47" s="127"/>
      <c r="F47" s="127"/>
      <c r="G47" s="127"/>
      <c r="H47" s="127"/>
      <c r="I47" s="127"/>
      <c r="J47" s="127">
        <v>0</v>
      </c>
      <c r="K47" s="196">
        <f t="shared" si="104"/>
        <v>0</v>
      </c>
      <c r="M47" s="194"/>
      <c r="N47" s="195" t="s">
        <v>6</v>
      </c>
      <c r="O47" s="185"/>
      <c r="P47" s="126"/>
      <c r="Q47" s="127"/>
      <c r="R47" s="127"/>
      <c r="S47" s="127"/>
      <c r="T47" s="127"/>
      <c r="U47" s="127"/>
      <c r="V47" s="127"/>
      <c r="W47" s="196">
        <f t="shared" si="105"/>
        <v>0</v>
      </c>
      <c r="Y47" s="194"/>
      <c r="Z47" s="195" t="s">
        <v>6</v>
      </c>
      <c r="AA47" s="185"/>
      <c r="AB47" s="126"/>
      <c r="AC47" s="127"/>
      <c r="AD47" s="127"/>
      <c r="AE47" s="127"/>
      <c r="AF47" s="127"/>
      <c r="AG47" s="127"/>
      <c r="AH47" s="127">
        <v>0</v>
      </c>
      <c r="AI47" s="196">
        <f t="shared" si="107"/>
        <v>0</v>
      </c>
      <c r="AK47" s="194"/>
      <c r="AL47" s="195" t="s">
        <v>6</v>
      </c>
      <c r="AM47" s="185"/>
      <c r="AN47" s="126"/>
      <c r="AO47" s="127"/>
      <c r="AP47" s="127"/>
      <c r="AQ47" s="127"/>
      <c r="AR47" s="127"/>
      <c r="AS47" s="127"/>
      <c r="AT47" s="127">
        <v>0</v>
      </c>
      <c r="AU47" s="196">
        <f t="shared" si="109"/>
        <v>0</v>
      </c>
      <c r="AW47" s="2"/>
      <c r="AX47" s="6" t="s">
        <v>6</v>
      </c>
      <c r="AY47" s="185"/>
      <c r="AZ47" s="126"/>
      <c r="BA47" s="127"/>
      <c r="BB47" s="127"/>
      <c r="BC47" s="127"/>
      <c r="BD47" s="127"/>
      <c r="BE47" s="127"/>
      <c r="BF47" s="127">
        <v>0</v>
      </c>
      <c r="BG47" s="123">
        <f t="shared" si="111"/>
        <v>0</v>
      </c>
      <c r="BI47" s="69" t="str">
        <f>IF(OR(K47&lt;0,W47&lt;0,AI47&lt;0,AU47&lt;0,BG47&lt;0),"!! Total must be &gt;= sum by situation",IF(OR(C47&lt;SUM(O47,AA47,AM47,AY47),D47&lt;SUM(P47,AB47,AN47,AZ47),E47&lt;SUM(Q47,AC47,AO47,BA47),F47&lt;SUM(R47,AD47,AP47,BB47),G47&lt;SUM(S47,AE47,AQ47,BC47),H47&lt;SUM(T47,AF47,AR47,BD47),I47&lt;SUM(U47,AG47,AS47,BE47),J47&lt;SUM(V47,AH47,AT47,BF47)),"!! Values in FU1 must be &gt;= sum of values in FU2 - FU5",""))</f>
        <v/>
      </c>
      <c r="BK47" s="265"/>
    </row>
    <row r="48" spans="1:63" x14ac:dyDescent="0.2">
      <c r="A48" s="194"/>
      <c r="B48" s="195" t="s">
        <v>7</v>
      </c>
      <c r="C48" s="185"/>
      <c r="D48" s="126"/>
      <c r="E48" s="126"/>
      <c r="F48" s="126"/>
      <c r="G48" s="126"/>
      <c r="H48" s="126"/>
      <c r="I48" s="126"/>
      <c r="J48" s="127">
        <v>0</v>
      </c>
      <c r="K48" s="196">
        <f t="shared" si="104"/>
        <v>0</v>
      </c>
      <c r="M48" s="194"/>
      <c r="N48" s="195" t="s">
        <v>7</v>
      </c>
      <c r="O48" s="185"/>
      <c r="P48" s="126"/>
      <c r="Q48" s="126"/>
      <c r="R48" s="126"/>
      <c r="S48" s="126"/>
      <c r="T48" s="126"/>
      <c r="U48" s="126"/>
      <c r="V48" s="127"/>
      <c r="W48" s="196">
        <f t="shared" si="105"/>
        <v>0</v>
      </c>
      <c r="Y48" s="194"/>
      <c r="Z48" s="195" t="s">
        <v>7</v>
      </c>
      <c r="AA48" s="185"/>
      <c r="AB48" s="126"/>
      <c r="AC48" s="126"/>
      <c r="AD48" s="126"/>
      <c r="AE48" s="126"/>
      <c r="AF48" s="126"/>
      <c r="AG48" s="126"/>
      <c r="AH48" s="127">
        <v>0</v>
      </c>
      <c r="AI48" s="196">
        <f t="shared" si="107"/>
        <v>0</v>
      </c>
      <c r="AK48" s="194"/>
      <c r="AL48" s="195" t="s">
        <v>7</v>
      </c>
      <c r="AM48" s="185"/>
      <c r="AN48" s="126"/>
      <c r="AO48" s="126"/>
      <c r="AP48" s="126"/>
      <c r="AQ48" s="126"/>
      <c r="AR48" s="126"/>
      <c r="AS48" s="126"/>
      <c r="AT48" s="127">
        <v>0</v>
      </c>
      <c r="AU48" s="196">
        <f t="shared" si="109"/>
        <v>0</v>
      </c>
      <c r="AW48" s="2"/>
      <c r="AX48" s="6" t="s">
        <v>7</v>
      </c>
      <c r="AY48" s="185"/>
      <c r="AZ48" s="126"/>
      <c r="BA48" s="126"/>
      <c r="BB48" s="126"/>
      <c r="BC48" s="126"/>
      <c r="BD48" s="126"/>
      <c r="BE48" s="126"/>
      <c r="BF48" s="127">
        <v>0</v>
      </c>
      <c r="BG48" s="123">
        <f t="shared" si="111"/>
        <v>0</v>
      </c>
      <c r="BI48" s="69" t="str">
        <f t="shared" ref="BI48:BI49" si="112">IF(OR(K48&lt;0,W48&lt;0,AI48&lt;0,AU48&lt;0,BG48&lt;0),"!! Total must be &gt;= sum by situation",IF(OR(C48&lt;SUM(O48,AA48,AM48,AY48),D48&lt;SUM(P48,AB48,AN48,AZ48),E48&lt;SUM(Q48,AC48,AO48,BA48),F48&lt;SUM(R48,AD48,AP48,BB48),G48&lt;SUM(S48,AE48,AQ48,BC48),H48&lt;SUM(T48,AF48,AR48,BD48),I48&lt;SUM(U48,AG48,AS48,BE48),J48&lt;SUM(V48,AH48,AT48,BF48)),"!! Values in FU1 must be &gt;= sum of values in FU2 - FU5",""))</f>
        <v/>
      </c>
      <c r="BK48" s="265"/>
    </row>
    <row r="49" spans="1:63" ht="16" thickBot="1" x14ac:dyDescent="0.25">
      <c r="A49" s="203"/>
      <c r="B49" s="195" t="s">
        <v>577</v>
      </c>
      <c r="C49" s="186"/>
      <c r="D49" s="128"/>
      <c r="E49" s="129"/>
      <c r="F49" s="129"/>
      <c r="G49" s="129"/>
      <c r="H49" s="129"/>
      <c r="I49" s="129"/>
      <c r="J49" s="129">
        <v>0</v>
      </c>
      <c r="K49" s="204">
        <f t="shared" si="104"/>
        <v>0</v>
      </c>
      <c r="M49" s="203"/>
      <c r="N49" s="195" t="s">
        <v>577</v>
      </c>
      <c r="O49" s="186"/>
      <c r="P49" s="128"/>
      <c r="Q49" s="129"/>
      <c r="R49" s="129"/>
      <c r="S49" s="129"/>
      <c r="T49" s="129"/>
      <c r="U49" s="129"/>
      <c r="V49" s="129"/>
      <c r="W49" s="204">
        <f t="shared" si="105"/>
        <v>0</v>
      </c>
      <c r="Y49" s="203"/>
      <c r="Z49" s="195" t="s">
        <v>577</v>
      </c>
      <c r="AA49" s="186"/>
      <c r="AB49" s="128"/>
      <c r="AC49" s="129"/>
      <c r="AD49" s="129"/>
      <c r="AE49" s="129"/>
      <c r="AF49" s="129"/>
      <c r="AG49" s="129"/>
      <c r="AH49" s="129">
        <v>0</v>
      </c>
      <c r="AI49" s="204">
        <f t="shared" si="107"/>
        <v>0</v>
      </c>
      <c r="AK49" s="203"/>
      <c r="AL49" s="195" t="s">
        <v>577</v>
      </c>
      <c r="AM49" s="186"/>
      <c r="AN49" s="128"/>
      <c r="AO49" s="129"/>
      <c r="AP49" s="129"/>
      <c r="AQ49" s="129"/>
      <c r="AR49" s="129"/>
      <c r="AS49" s="129"/>
      <c r="AT49" s="129">
        <v>0</v>
      </c>
      <c r="AU49" s="204">
        <f t="shared" si="109"/>
        <v>0</v>
      </c>
      <c r="AW49" s="3"/>
      <c r="AX49" s="6" t="s">
        <v>577</v>
      </c>
      <c r="AY49" s="186"/>
      <c r="AZ49" s="128"/>
      <c r="BA49" s="129"/>
      <c r="BB49" s="129"/>
      <c r="BC49" s="129"/>
      <c r="BD49" s="129"/>
      <c r="BE49" s="129"/>
      <c r="BF49" s="129">
        <v>0</v>
      </c>
      <c r="BG49" s="124">
        <f t="shared" si="111"/>
        <v>0</v>
      </c>
      <c r="BI49" s="69" t="str">
        <f t="shared" si="112"/>
        <v/>
      </c>
      <c r="BK49" s="265"/>
    </row>
    <row r="50" spans="1:63" ht="16" thickTop="1" x14ac:dyDescent="0.2">
      <c r="A50" s="197" t="s">
        <v>157</v>
      </c>
      <c r="B50" s="198"/>
      <c r="C50" s="160"/>
      <c r="D50" s="161"/>
      <c r="E50" s="162"/>
      <c r="F50" s="162"/>
      <c r="G50" s="162"/>
      <c r="H50" s="162"/>
      <c r="I50" s="162"/>
      <c r="J50" s="162"/>
      <c r="K50" s="193"/>
      <c r="M50" s="197" t="s">
        <v>157</v>
      </c>
      <c r="N50" s="198"/>
      <c r="O50" s="160"/>
      <c r="P50" s="161"/>
      <c r="Q50" s="162"/>
      <c r="R50" s="162"/>
      <c r="S50" s="162"/>
      <c r="T50" s="162"/>
      <c r="U50" s="162"/>
      <c r="V50" s="162"/>
      <c r="W50" s="193"/>
      <c r="Y50" s="197" t="s">
        <v>157</v>
      </c>
      <c r="Z50" s="198"/>
      <c r="AA50" s="160"/>
      <c r="AB50" s="161"/>
      <c r="AC50" s="162"/>
      <c r="AD50" s="162"/>
      <c r="AE50" s="162"/>
      <c r="AF50" s="162"/>
      <c r="AG50" s="162"/>
      <c r="AH50" s="162"/>
      <c r="AI50" s="193"/>
      <c r="AK50" s="197" t="s">
        <v>157</v>
      </c>
      <c r="AL50" s="198"/>
      <c r="AM50" s="160"/>
      <c r="AN50" s="161"/>
      <c r="AO50" s="162"/>
      <c r="AP50" s="162"/>
      <c r="AQ50" s="162"/>
      <c r="AR50" s="162"/>
      <c r="AS50" s="162"/>
      <c r="AT50" s="162"/>
      <c r="AU50" s="193"/>
      <c r="AW50" s="116" t="s">
        <v>157</v>
      </c>
      <c r="AX50" s="117"/>
      <c r="AY50" s="160"/>
      <c r="AZ50" s="161"/>
      <c r="BA50" s="162"/>
      <c r="BB50" s="162"/>
      <c r="BC50" s="162"/>
      <c r="BD50" s="162"/>
      <c r="BE50" s="162"/>
      <c r="BF50" s="162"/>
      <c r="BG50" s="32"/>
      <c r="BI50" s="69"/>
      <c r="BK50" s="265"/>
    </row>
    <row r="51" spans="1:63" ht="15" hidden="1" customHeight="1" x14ac:dyDescent="0.2">
      <c r="A51" s="200" t="str">
        <f>A50</f>
        <v>18 months after exit</v>
      </c>
      <c r="B51" s="201"/>
      <c r="C51" s="158"/>
      <c r="D51" s="158"/>
      <c r="E51" s="158"/>
      <c r="F51" s="158"/>
      <c r="G51" s="158"/>
      <c r="H51" s="158"/>
      <c r="I51" s="158"/>
      <c r="J51" s="159"/>
      <c r="K51" s="202" t="e">
        <f>#REF!</f>
        <v>#REF!</v>
      </c>
      <c r="M51" s="200" t="str">
        <f>M50</f>
        <v>18 months after exit</v>
      </c>
      <c r="N51" s="201"/>
      <c r="O51" s="158"/>
      <c r="P51" s="158"/>
      <c r="Q51" s="158"/>
      <c r="R51" s="158"/>
      <c r="S51" s="158"/>
      <c r="T51" s="158"/>
      <c r="U51" s="158"/>
      <c r="V51" s="159"/>
      <c r="W51" s="202" t="e">
        <f>#REF!</f>
        <v>#REF!</v>
      </c>
      <c r="Y51" s="200" t="str">
        <f>Y50</f>
        <v>18 months after exit</v>
      </c>
      <c r="Z51" s="201"/>
      <c r="AA51" s="158"/>
      <c r="AB51" s="158"/>
      <c r="AC51" s="158"/>
      <c r="AD51" s="158"/>
      <c r="AE51" s="158"/>
      <c r="AF51" s="158"/>
      <c r="AG51" s="158"/>
      <c r="AH51" s="159"/>
      <c r="AI51" s="202" t="e">
        <f>#REF!</f>
        <v>#REF!</v>
      </c>
      <c r="AK51" s="200" t="str">
        <f>AK50</f>
        <v>18 months after exit</v>
      </c>
      <c r="AL51" s="201"/>
      <c r="AM51" s="158"/>
      <c r="AN51" s="158"/>
      <c r="AO51" s="158"/>
      <c r="AP51" s="158"/>
      <c r="AQ51" s="158"/>
      <c r="AR51" s="158"/>
      <c r="AS51" s="158"/>
      <c r="AT51" s="159"/>
      <c r="AU51" s="202" t="e">
        <f>#REF!</f>
        <v>#REF!</v>
      </c>
      <c r="AW51" s="14" t="str">
        <f>AW50</f>
        <v>18 months after exit</v>
      </c>
      <c r="AX51" s="15"/>
      <c r="AY51" s="158"/>
      <c r="AZ51" s="158"/>
      <c r="BA51" s="158"/>
      <c r="BB51" s="158"/>
      <c r="BC51" s="158"/>
      <c r="BD51" s="158"/>
      <c r="BE51" s="158"/>
      <c r="BF51" s="159"/>
      <c r="BG51" s="34" t="e">
        <f>#REF!</f>
        <v>#REF!</v>
      </c>
      <c r="BI51" s="69"/>
      <c r="BK51" s="265"/>
    </row>
    <row r="52" spans="1:63" x14ac:dyDescent="0.2">
      <c r="A52" s="183" t="s">
        <v>97</v>
      </c>
      <c r="B52" s="179"/>
      <c r="C52" s="172" t="str">
        <f>C$18</f>
        <v>Total</v>
      </c>
      <c r="D52" s="180" t="str">
        <f>D$18</f>
        <v>Employment</v>
      </c>
      <c r="E52" s="180" t="str">
        <f t="shared" ref="E52:J52" si="113">E$18</f>
        <v>Education</v>
      </c>
      <c r="F52" s="180" t="str">
        <f t="shared" si="113"/>
        <v>Apprenticeship</v>
      </c>
      <c r="G52" s="180" t="str">
        <f t="shared" si="113"/>
        <v>Traineeship</v>
      </c>
      <c r="H52" s="180" t="str">
        <f t="shared" si="113"/>
        <v>Unemployment</v>
      </c>
      <c r="I52" s="180" t="str">
        <f t="shared" si="113"/>
        <v>Inactivity</v>
      </c>
      <c r="J52" s="180" t="str">
        <f t="shared" si="113"/>
        <v>Not applicable</v>
      </c>
      <c r="K52" s="182" t="str">
        <f t="shared" ref="K52" si="114">K$18</f>
        <v>Unknown</v>
      </c>
      <c r="M52" s="183" t="s">
        <v>97</v>
      </c>
      <c r="N52" s="179"/>
      <c r="O52" s="172" t="str">
        <f>O$18</f>
        <v>Total</v>
      </c>
      <c r="P52" s="180" t="str">
        <f>P$18</f>
        <v>Employment</v>
      </c>
      <c r="Q52" s="180" t="str">
        <f t="shared" ref="Q52:V52" si="115">Q$18</f>
        <v>Education</v>
      </c>
      <c r="R52" s="180" t="str">
        <f t="shared" si="115"/>
        <v>Apprenticeship</v>
      </c>
      <c r="S52" s="180" t="str">
        <f t="shared" si="115"/>
        <v>Traineeship</v>
      </c>
      <c r="T52" s="180" t="str">
        <f t="shared" si="115"/>
        <v>Unemployment</v>
      </c>
      <c r="U52" s="180" t="str">
        <f t="shared" si="115"/>
        <v>Inactivity</v>
      </c>
      <c r="V52" s="180" t="str">
        <f t="shared" si="115"/>
        <v>Not applicable</v>
      </c>
      <c r="W52" s="182" t="str">
        <f t="shared" ref="W52" si="116">W$18</f>
        <v>Unknown</v>
      </c>
      <c r="Y52" s="183" t="s">
        <v>97</v>
      </c>
      <c r="Z52" s="179"/>
      <c r="AA52" s="172" t="str">
        <f>AA$18</f>
        <v>Total</v>
      </c>
      <c r="AB52" s="180" t="str">
        <f>AB$18</f>
        <v>Employment</v>
      </c>
      <c r="AC52" s="180" t="str">
        <f t="shared" ref="AC52:AH52" si="117">AC$18</f>
        <v>Education</v>
      </c>
      <c r="AD52" s="180" t="str">
        <f t="shared" si="117"/>
        <v>Apprenticeship</v>
      </c>
      <c r="AE52" s="180" t="str">
        <f t="shared" si="117"/>
        <v>Traineeship</v>
      </c>
      <c r="AF52" s="180" t="str">
        <f t="shared" si="117"/>
        <v>Unemployment</v>
      </c>
      <c r="AG52" s="180" t="str">
        <f t="shared" si="117"/>
        <v>Inactivity</v>
      </c>
      <c r="AH52" s="180" t="str">
        <f t="shared" si="117"/>
        <v>Not applicable</v>
      </c>
      <c r="AI52" s="182" t="str">
        <f t="shared" ref="AI52" si="118">AI$18</f>
        <v>Unknown</v>
      </c>
      <c r="AK52" s="183" t="s">
        <v>97</v>
      </c>
      <c r="AL52" s="179"/>
      <c r="AM52" s="172" t="str">
        <f>AM$18</f>
        <v>Total</v>
      </c>
      <c r="AN52" s="180" t="str">
        <f>AN$18</f>
        <v>Employment</v>
      </c>
      <c r="AO52" s="180" t="str">
        <f t="shared" ref="AO52:AT52" si="119">AO$18</f>
        <v>Education</v>
      </c>
      <c r="AP52" s="180" t="str">
        <f t="shared" si="119"/>
        <v>Apprenticeship</v>
      </c>
      <c r="AQ52" s="180" t="str">
        <f t="shared" si="119"/>
        <v>Traineeship</v>
      </c>
      <c r="AR52" s="180" t="str">
        <f t="shared" si="119"/>
        <v>Unemployment</v>
      </c>
      <c r="AS52" s="180" t="str">
        <f t="shared" si="119"/>
        <v>Inactivity</v>
      </c>
      <c r="AT52" s="180" t="str">
        <f t="shared" si="119"/>
        <v>Not applicable</v>
      </c>
      <c r="AU52" s="182" t="str">
        <f t="shared" ref="AU52" si="120">AU$18</f>
        <v>Unknown</v>
      </c>
      <c r="AW52" s="183" t="s">
        <v>97</v>
      </c>
      <c r="AX52" s="179"/>
      <c r="AY52" s="172" t="str">
        <f>AY$18</f>
        <v>Total</v>
      </c>
      <c r="AZ52" s="180" t="str">
        <f>AZ$18</f>
        <v>Employment</v>
      </c>
      <c r="BA52" s="180" t="str">
        <f t="shared" ref="BA52:BF52" si="121">BA$18</f>
        <v>Education</v>
      </c>
      <c r="BB52" s="180" t="str">
        <f t="shared" si="121"/>
        <v>Apprenticeship</v>
      </c>
      <c r="BC52" s="180" t="str">
        <f t="shared" si="121"/>
        <v>Traineeship</v>
      </c>
      <c r="BD52" s="180" t="str">
        <f t="shared" si="121"/>
        <v>Unemployment</v>
      </c>
      <c r="BE52" s="180" t="str">
        <f t="shared" si="121"/>
        <v>Inactivity</v>
      </c>
      <c r="BF52" s="180" t="str">
        <f t="shared" si="121"/>
        <v>Not applicable</v>
      </c>
      <c r="BG52" s="182" t="str">
        <f t="shared" ref="BG52" si="122">BG$18</f>
        <v>Unknown</v>
      </c>
      <c r="BI52" s="69" t="str" cm="1">
        <f t="array" ref="BI52">IF(OR(SUM(IF(O53:W56&lt;(O58:W61+O63:W66),1,0)),SUM(IF(C53:K56&lt;(C58:K61+C63:K66),1,0)),SUM(IF(AA53:AI56&lt;(AA58:AI61+AA63:AI66),1,0)), SUM(IF(AM53:AU56&lt;(AM58:AU61+AM63:AU66),1,0)), SUM(IF(AY53:BG56&lt;(AY58:BG61+AY63:BG66),1,0))),"!! Check sum by sex for one or more columns/rows","")</f>
        <v/>
      </c>
      <c r="BK52" s="265"/>
    </row>
    <row r="53" spans="1:63" x14ac:dyDescent="0.2">
      <c r="A53" s="194"/>
      <c r="B53" s="195" t="s">
        <v>578</v>
      </c>
      <c r="C53" s="185"/>
      <c r="D53" s="126"/>
      <c r="E53" s="127"/>
      <c r="F53" s="127"/>
      <c r="G53" s="127"/>
      <c r="H53" s="127"/>
      <c r="I53" s="127"/>
      <c r="J53" s="127">
        <f t="shared" ref="J53" si="123">SUM(J54:J56)</f>
        <v>0</v>
      </c>
      <c r="K53" s="196">
        <f t="shared" ref="K53:K56" si="124">C53-SUM(D53:G53,H53:I53,J53)</f>
        <v>0</v>
      </c>
      <c r="M53" s="194"/>
      <c r="N53" s="195" t="s">
        <v>578</v>
      </c>
      <c r="O53" s="185"/>
      <c r="P53" s="126"/>
      <c r="Q53" s="127"/>
      <c r="R53" s="127"/>
      <c r="S53" s="127"/>
      <c r="T53" s="127"/>
      <c r="U53" s="127"/>
      <c r="V53" s="127">
        <f t="shared" ref="V53" si="125">SUM(V54:V56)</f>
        <v>0</v>
      </c>
      <c r="W53" s="196">
        <f t="shared" ref="W53:W56" si="126">O53-SUM(P53:S53,T53:U53,V53)</f>
        <v>0</v>
      </c>
      <c r="Y53" s="194"/>
      <c r="Z53" s="195" t="s">
        <v>578</v>
      </c>
      <c r="AA53" s="185"/>
      <c r="AB53" s="126"/>
      <c r="AC53" s="127"/>
      <c r="AD53" s="127"/>
      <c r="AE53" s="127"/>
      <c r="AF53" s="127"/>
      <c r="AG53" s="127"/>
      <c r="AH53" s="127">
        <f t="shared" ref="AH53" si="127">SUM(AH54:AH56)</f>
        <v>0</v>
      </c>
      <c r="AI53" s="196">
        <f t="shared" ref="AI53:AI56" si="128">AA53-SUM(AB53:AE53,AF53:AG53,AH53)</f>
        <v>0</v>
      </c>
      <c r="AK53" s="194"/>
      <c r="AL53" s="195" t="s">
        <v>578</v>
      </c>
      <c r="AM53" s="185"/>
      <c r="AN53" s="126"/>
      <c r="AO53" s="127"/>
      <c r="AP53" s="127"/>
      <c r="AQ53" s="127"/>
      <c r="AR53" s="127"/>
      <c r="AS53" s="127"/>
      <c r="AT53" s="127">
        <f t="shared" ref="AT53" si="129">SUM(AT54:AT56)</f>
        <v>0</v>
      </c>
      <c r="AU53" s="196">
        <f t="shared" ref="AU53:AU56" si="130">AM53-SUM(AN53:AQ53,AR53:AS53,AT53)</f>
        <v>0</v>
      </c>
      <c r="AW53" s="2"/>
      <c r="AX53" s="6" t="s">
        <v>578</v>
      </c>
      <c r="AY53" s="185"/>
      <c r="AZ53" s="126"/>
      <c r="BA53" s="127"/>
      <c r="BB53" s="127"/>
      <c r="BC53" s="127"/>
      <c r="BD53" s="127"/>
      <c r="BE53" s="127"/>
      <c r="BF53" s="127">
        <f t="shared" ref="BF53" si="131">SUM(BF54:BF56)</f>
        <v>0</v>
      </c>
      <c r="BG53" s="123">
        <f t="shared" ref="BG53:BG56" si="132">AY53-SUM(AZ53:BC53,BD53:BE53,BF53)</f>
        <v>0</v>
      </c>
      <c r="BI53" s="69" t="str">
        <f>IF(OR(K53&lt;0,W53&lt;0,AI53&lt;0,AU53&lt;0,BG53&lt;0),"!! Total must be &gt;= sum by situation",IF(OR(C53&lt;SUM(O53,AA53,AM53,AY53),D53&lt;SUM(P53,AB53,AN53,AZ53),E53&lt;SUM(Q53,AC53,AO53,BA53),F53&lt;SUM(R53,AD53,AP53,BB53),G53&lt;SUM(S53,AE53,AQ53,BC53),H53&lt;SUM(T53,AF53,AR53,BD53),I53&lt;SUM(U53,AG53,AS53,BE53),J53&lt;SUM(V53,AH53,AT53,BF53)),"!! Values in FU1 must be &gt;= sum of values in FU2 - FU5",""))</f>
        <v/>
      </c>
      <c r="BK53" s="265"/>
    </row>
    <row r="54" spans="1:63" x14ac:dyDescent="0.2">
      <c r="A54" s="194"/>
      <c r="B54" s="195" t="s">
        <v>6</v>
      </c>
      <c r="C54" s="185"/>
      <c r="D54" s="126"/>
      <c r="E54" s="127"/>
      <c r="F54" s="127"/>
      <c r="G54" s="127"/>
      <c r="H54" s="127"/>
      <c r="I54" s="127"/>
      <c r="J54" s="127">
        <v>0</v>
      </c>
      <c r="K54" s="196">
        <f t="shared" si="124"/>
        <v>0</v>
      </c>
      <c r="M54" s="194"/>
      <c r="N54" s="195" t="s">
        <v>6</v>
      </c>
      <c r="O54" s="185"/>
      <c r="P54" s="126"/>
      <c r="Q54" s="127"/>
      <c r="R54" s="127"/>
      <c r="S54" s="127"/>
      <c r="T54" s="127"/>
      <c r="U54" s="127"/>
      <c r="V54" s="127">
        <v>0</v>
      </c>
      <c r="W54" s="196">
        <f t="shared" si="126"/>
        <v>0</v>
      </c>
      <c r="Y54" s="194"/>
      <c r="Z54" s="195" t="s">
        <v>6</v>
      </c>
      <c r="AA54" s="185"/>
      <c r="AB54" s="126"/>
      <c r="AC54" s="127"/>
      <c r="AD54" s="127"/>
      <c r="AE54" s="127"/>
      <c r="AF54" s="127"/>
      <c r="AG54" s="127"/>
      <c r="AH54" s="127">
        <v>0</v>
      </c>
      <c r="AI54" s="196">
        <f t="shared" si="128"/>
        <v>0</v>
      </c>
      <c r="AK54" s="194"/>
      <c r="AL54" s="195" t="s">
        <v>6</v>
      </c>
      <c r="AM54" s="185"/>
      <c r="AN54" s="126"/>
      <c r="AO54" s="127"/>
      <c r="AP54" s="127"/>
      <c r="AQ54" s="127"/>
      <c r="AR54" s="127"/>
      <c r="AS54" s="127"/>
      <c r="AT54" s="127">
        <v>0</v>
      </c>
      <c r="AU54" s="196">
        <f t="shared" si="130"/>
        <v>0</v>
      </c>
      <c r="AW54" s="2"/>
      <c r="AX54" s="6" t="s">
        <v>6</v>
      </c>
      <c r="AY54" s="185"/>
      <c r="AZ54" s="126"/>
      <c r="BA54" s="127"/>
      <c r="BB54" s="127"/>
      <c r="BC54" s="127"/>
      <c r="BD54" s="127"/>
      <c r="BE54" s="127"/>
      <c r="BF54" s="127">
        <v>0</v>
      </c>
      <c r="BG54" s="123">
        <f t="shared" si="132"/>
        <v>0</v>
      </c>
      <c r="BI54" s="69" t="str">
        <f>IF(OR(K54&lt;0,W54&lt;0,AI54&lt;0,AU54&lt;0,BG54&lt;0),"!! Total must be &gt;= sum by situation",IF(OR(C54&lt;SUM(O54,AA54,AM54,AY54),D54&lt;SUM(P54,AB54,AN54,AZ54),E54&lt;SUM(Q54,AC54,AO54,BA54),F54&lt;SUM(R54,AD54,AP54,BB54),G54&lt;SUM(S54,AE54,AQ54,BC54),H54&lt;SUM(T54,AF54,AR54,BD54),I54&lt;SUM(U54,AG54,AS54,BE54),J54&lt;SUM(V54,AH54,AT54,BF54)),"!! Values in FU1 must be &gt;= sum of values in FU2 - FU5",""))</f>
        <v/>
      </c>
      <c r="BK54" s="265"/>
    </row>
    <row r="55" spans="1:63" x14ac:dyDescent="0.2">
      <c r="A55" s="194"/>
      <c r="B55" s="195" t="s">
        <v>7</v>
      </c>
      <c r="C55" s="185"/>
      <c r="D55" s="126"/>
      <c r="E55" s="126"/>
      <c r="F55" s="126"/>
      <c r="G55" s="126"/>
      <c r="H55" s="126"/>
      <c r="I55" s="126"/>
      <c r="J55" s="127">
        <v>0</v>
      </c>
      <c r="K55" s="196">
        <f t="shared" si="124"/>
        <v>0</v>
      </c>
      <c r="M55" s="194"/>
      <c r="N55" s="195" t="s">
        <v>7</v>
      </c>
      <c r="O55" s="185"/>
      <c r="P55" s="126"/>
      <c r="Q55" s="126"/>
      <c r="R55" s="126"/>
      <c r="S55" s="126"/>
      <c r="T55" s="126"/>
      <c r="U55" s="126"/>
      <c r="V55" s="127">
        <v>0</v>
      </c>
      <c r="W55" s="196">
        <f t="shared" si="126"/>
        <v>0</v>
      </c>
      <c r="Y55" s="194"/>
      <c r="Z55" s="195" t="s">
        <v>7</v>
      </c>
      <c r="AA55" s="185"/>
      <c r="AB55" s="126"/>
      <c r="AC55" s="126"/>
      <c r="AD55" s="126"/>
      <c r="AE55" s="126"/>
      <c r="AF55" s="126"/>
      <c r="AG55" s="126"/>
      <c r="AH55" s="127">
        <v>0</v>
      </c>
      <c r="AI55" s="196">
        <f t="shared" si="128"/>
        <v>0</v>
      </c>
      <c r="AK55" s="194"/>
      <c r="AL55" s="195" t="s">
        <v>7</v>
      </c>
      <c r="AM55" s="185"/>
      <c r="AN55" s="126"/>
      <c r="AO55" s="126"/>
      <c r="AP55" s="126"/>
      <c r="AQ55" s="126"/>
      <c r="AR55" s="126"/>
      <c r="AS55" s="126"/>
      <c r="AT55" s="127">
        <v>0</v>
      </c>
      <c r="AU55" s="196">
        <f t="shared" si="130"/>
        <v>0</v>
      </c>
      <c r="AW55" s="2"/>
      <c r="AX55" s="6" t="s">
        <v>7</v>
      </c>
      <c r="AY55" s="185"/>
      <c r="AZ55" s="126"/>
      <c r="BA55" s="126"/>
      <c r="BB55" s="126"/>
      <c r="BC55" s="126"/>
      <c r="BD55" s="126"/>
      <c r="BE55" s="126"/>
      <c r="BF55" s="127">
        <v>0</v>
      </c>
      <c r="BG55" s="123">
        <f t="shared" si="132"/>
        <v>0</v>
      </c>
      <c r="BI55" s="69" t="str">
        <f t="shared" ref="BI55:BI56" si="133">IF(OR(K55&lt;0,W55&lt;0,AI55&lt;0,AU55&lt;0,BG55&lt;0),"!! Total must be &gt;= sum by situation",IF(OR(C55&lt;SUM(O55,AA55,AM55,AY55),D55&lt;SUM(P55,AB55,AN55,AZ55),E55&lt;SUM(Q55,AC55,AO55,BA55),F55&lt;SUM(R55,AD55,AP55,BB55),G55&lt;SUM(S55,AE55,AQ55,BC55),H55&lt;SUM(T55,AF55,AR55,BD55),I55&lt;SUM(U55,AG55,AS55,BE55),J55&lt;SUM(V55,AH55,AT55,BF55)),"!! Values in FU1 must be &gt;= sum of values in FU2 - FU5",""))</f>
        <v/>
      </c>
      <c r="BK55" s="265"/>
    </row>
    <row r="56" spans="1:63" x14ac:dyDescent="0.2">
      <c r="A56" s="194"/>
      <c r="B56" s="195" t="s">
        <v>577</v>
      </c>
      <c r="C56" s="185"/>
      <c r="D56" s="126"/>
      <c r="E56" s="127"/>
      <c r="F56" s="127"/>
      <c r="G56" s="127"/>
      <c r="H56" s="127"/>
      <c r="I56" s="127"/>
      <c r="J56" s="127">
        <v>0</v>
      </c>
      <c r="K56" s="196">
        <f t="shared" si="124"/>
        <v>0</v>
      </c>
      <c r="M56" s="194"/>
      <c r="N56" s="195" t="s">
        <v>577</v>
      </c>
      <c r="O56" s="185"/>
      <c r="P56" s="126"/>
      <c r="Q56" s="127"/>
      <c r="R56" s="127"/>
      <c r="S56" s="127"/>
      <c r="T56" s="127"/>
      <c r="U56" s="127"/>
      <c r="V56" s="127">
        <v>0</v>
      </c>
      <c r="W56" s="196">
        <f t="shared" si="126"/>
        <v>0</v>
      </c>
      <c r="Y56" s="194"/>
      <c r="Z56" s="195" t="s">
        <v>577</v>
      </c>
      <c r="AA56" s="185"/>
      <c r="AB56" s="126"/>
      <c r="AC56" s="127"/>
      <c r="AD56" s="127"/>
      <c r="AE56" s="127"/>
      <c r="AF56" s="127"/>
      <c r="AG56" s="127"/>
      <c r="AH56" s="127">
        <v>0</v>
      </c>
      <c r="AI56" s="196">
        <f t="shared" si="128"/>
        <v>0</v>
      </c>
      <c r="AK56" s="194"/>
      <c r="AL56" s="195" t="s">
        <v>577</v>
      </c>
      <c r="AM56" s="185"/>
      <c r="AN56" s="126"/>
      <c r="AO56" s="127"/>
      <c r="AP56" s="127"/>
      <c r="AQ56" s="127"/>
      <c r="AR56" s="127"/>
      <c r="AS56" s="127"/>
      <c r="AT56" s="127">
        <v>0</v>
      </c>
      <c r="AU56" s="196">
        <f t="shared" si="130"/>
        <v>0</v>
      </c>
      <c r="AW56" s="2"/>
      <c r="AX56" s="6" t="s">
        <v>577</v>
      </c>
      <c r="AY56" s="185"/>
      <c r="AZ56" s="126"/>
      <c r="BA56" s="127"/>
      <c r="BB56" s="127"/>
      <c r="BC56" s="127"/>
      <c r="BD56" s="127"/>
      <c r="BE56" s="127"/>
      <c r="BF56" s="127">
        <v>0</v>
      </c>
      <c r="BG56" s="123">
        <f t="shared" si="132"/>
        <v>0</v>
      </c>
      <c r="BI56" s="69" t="str">
        <f t="shared" si="133"/>
        <v/>
      </c>
      <c r="BK56" s="265"/>
    </row>
    <row r="57" spans="1:63" x14ac:dyDescent="0.2">
      <c r="A57" s="183" t="s">
        <v>4</v>
      </c>
      <c r="B57" s="179"/>
      <c r="C57" s="172" t="str">
        <f>C$18</f>
        <v>Total</v>
      </c>
      <c r="D57" s="180" t="str">
        <f t="shared" ref="D57:J57" si="134">D$18</f>
        <v>Employment</v>
      </c>
      <c r="E57" s="180" t="str">
        <f t="shared" si="134"/>
        <v>Education</v>
      </c>
      <c r="F57" s="180" t="str">
        <f t="shared" si="134"/>
        <v>Apprenticeship</v>
      </c>
      <c r="G57" s="180" t="str">
        <f t="shared" si="134"/>
        <v>Traineeship</v>
      </c>
      <c r="H57" s="180" t="str">
        <f t="shared" si="134"/>
        <v>Unemployment</v>
      </c>
      <c r="I57" s="180" t="str">
        <f t="shared" si="134"/>
        <v>Inactivity</v>
      </c>
      <c r="J57" s="180" t="str">
        <f t="shared" si="134"/>
        <v>Not applicable</v>
      </c>
      <c r="K57" s="182" t="str">
        <f t="shared" ref="K57" si="135">K$18</f>
        <v>Unknown</v>
      </c>
      <c r="M57" s="183" t="s">
        <v>4</v>
      </c>
      <c r="N57" s="179"/>
      <c r="O57" s="172" t="str">
        <f>O$18</f>
        <v>Total</v>
      </c>
      <c r="P57" s="180" t="str">
        <f t="shared" ref="P57:V57" si="136">P$18</f>
        <v>Employment</v>
      </c>
      <c r="Q57" s="180" t="str">
        <f t="shared" si="136"/>
        <v>Education</v>
      </c>
      <c r="R57" s="180" t="str">
        <f t="shared" si="136"/>
        <v>Apprenticeship</v>
      </c>
      <c r="S57" s="180" t="str">
        <f t="shared" si="136"/>
        <v>Traineeship</v>
      </c>
      <c r="T57" s="180" t="str">
        <f t="shared" si="136"/>
        <v>Unemployment</v>
      </c>
      <c r="U57" s="180" t="str">
        <f t="shared" si="136"/>
        <v>Inactivity</v>
      </c>
      <c r="V57" s="180" t="str">
        <f t="shared" si="136"/>
        <v>Not applicable</v>
      </c>
      <c r="W57" s="182" t="str">
        <f t="shared" ref="W57" si="137">W$18</f>
        <v>Unknown</v>
      </c>
      <c r="Y57" s="183" t="s">
        <v>4</v>
      </c>
      <c r="Z57" s="179"/>
      <c r="AA57" s="172" t="str">
        <f>AA$18</f>
        <v>Total</v>
      </c>
      <c r="AB57" s="180" t="str">
        <f t="shared" ref="AB57:AH57" si="138">AB$18</f>
        <v>Employment</v>
      </c>
      <c r="AC57" s="180" t="str">
        <f t="shared" si="138"/>
        <v>Education</v>
      </c>
      <c r="AD57" s="180" t="str">
        <f t="shared" si="138"/>
        <v>Apprenticeship</v>
      </c>
      <c r="AE57" s="180" t="str">
        <f t="shared" si="138"/>
        <v>Traineeship</v>
      </c>
      <c r="AF57" s="180" t="str">
        <f t="shared" si="138"/>
        <v>Unemployment</v>
      </c>
      <c r="AG57" s="180" t="str">
        <f t="shared" si="138"/>
        <v>Inactivity</v>
      </c>
      <c r="AH57" s="180" t="str">
        <f t="shared" si="138"/>
        <v>Not applicable</v>
      </c>
      <c r="AI57" s="182" t="str">
        <f t="shared" ref="AI57" si="139">AI$18</f>
        <v>Unknown</v>
      </c>
      <c r="AK57" s="183" t="s">
        <v>4</v>
      </c>
      <c r="AL57" s="179"/>
      <c r="AM57" s="172" t="str">
        <f>AM$18</f>
        <v>Total</v>
      </c>
      <c r="AN57" s="180" t="str">
        <f t="shared" ref="AN57:AT57" si="140">AN$18</f>
        <v>Employment</v>
      </c>
      <c r="AO57" s="180" t="str">
        <f t="shared" si="140"/>
        <v>Education</v>
      </c>
      <c r="AP57" s="180" t="str">
        <f t="shared" si="140"/>
        <v>Apprenticeship</v>
      </c>
      <c r="AQ57" s="180" t="str">
        <f t="shared" si="140"/>
        <v>Traineeship</v>
      </c>
      <c r="AR57" s="180" t="str">
        <f t="shared" si="140"/>
        <v>Unemployment</v>
      </c>
      <c r="AS57" s="180" t="str">
        <f t="shared" si="140"/>
        <v>Inactivity</v>
      </c>
      <c r="AT57" s="180" t="str">
        <f t="shared" si="140"/>
        <v>Not applicable</v>
      </c>
      <c r="AU57" s="182" t="str">
        <f t="shared" ref="AU57" si="141">AU$18</f>
        <v>Unknown</v>
      </c>
      <c r="AW57" s="183" t="s">
        <v>4</v>
      </c>
      <c r="AX57" s="179"/>
      <c r="AY57" s="172" t="str">
        <f>AY$18</f>
        <v>Total</v>
      </c>
      <c r="AZ57" s="180" t="str">
        <f t="shared" ref="AZ57:BF57" si="142">AZ$18</f>
        <v>Employment</v>
      </c>
      <c r="BA57" s="180" t="str">
        <f t="shared" si="142"/>
        <v>Education</v>
      </c>
      <c r="BB57" s="180" t="str">
        <f t="shared" si="142"/>
        <v>Apprenticeship</v>
      </c>
      <c r="BC57" s="180" t="str">
        <f t="shared" si="142"/>
        <v>Traineeship</v>
      </c>
      <c r="BD57" s="180" t="str">
        <f t="shared" si="142"/>
        <v>Unemployment</v>
      </c>
      <c r="BE57" s="180" t="str">
        <f t="shared" si="142"/>
        <v>Inactivity</v>
      </c>
      <c r="BF57" s="180" t="str">
        <f t="shared" si="142"/>
        <v>Not applicable</v>
      </c>
      <c r="BG57" s="182" t="str">
        <f t="shared" ref="BG57" si="143">BG$18</f>
        <v>Unknown</v>
      </c>
      <c r="BI57" s="69"/>
      <c r="BK57" s="265"/>
    </row>
    <row r="58" spans="1:63" x14ac:dyDescent="0.2">
      <c r="A58" s="194"/>
      <c r="B58" s="195" t="s">
        <v>578</v>
      </c>
      <c r="C58" s="185"/>
      <c r="D58" s="126"/>
      <c r="E58" s="127"/>
      <c r="F58" s="127"/>
      <c r="G58" s="127"/>
      <c r="H58" s="127"/>
      <c r="I58" s="127"/>
      <c r="J58" s="127">
        <f t="shared" ref="J58" si="144">SUM(J59:J61)</f>
        <v>0</v>
      </c>
      <c r="K58" s="196">
        <f t="shared" ref="K58:K61" si="145">C58-SUM(D58:G58,H58:I58,J58)</f>
        <v>0</v>
      </c>
      <c r="M58" s="194"/>
      <c r="N58" s="195" t="s">
        <v>578</v>
      </c>
      <c r="O58" s="185"/>
      <c r="P58" s="126"/>
      <c r="Q58" s="127"/>
      <c r="R58" s="127"/>
      <c r="S58" s="127"/>
      <c r="T58" s="127"/>
      <c r="U58" s="127"/>
      <c r="V58" s="127">
        <f t="shared" ref="V58" si="146">SUM(V59:V61)</f>
        <v>0</v>
      </c>
      <c r="W58" s="196">
        <f t="shared" ref="W58:W61" si="147">O58-SUM(P58:S58,T58:U58,V58)</f>
        <v>0</v>
      </c>
      <c r="Y58" s="194"/>
      <c r="Z58" s="195" t="s">
        <v>578</v>
      </c>
      <c r="AA58" s="185"/>
      <c r="AB58" s="126"/>
      <c r="AC58" s="127"/>
      <c r="AD58" s="127"/>
      <c r="AE58" s="127"/>
      <c r="AF58" s="127"/>
      <c r="AG58" s="127"/>
      <c r="AH58" s="127"/>
      <c r="AI58" s="196">
        <f t="shared" ref="AI58:AI61" si="148">AA58-SUM(AB58:AE58,AF58:AG58,AH58)</f>
        <v>0</v>
      </c>
      <c r="AK58" s="194"/>
      <c r="AL58" s="195" t="s">
        <v>578</v>
      </c>
      <c r="AM58" s="185"/>
      <c r="AN58" s="126"/>
      <c r="AO58" s="127"/>
      <c r="AP58" s="127"/>
      <c r="AQ58" s="127"/>
      <c r="AR58" s="127"/>
      <c r="AS58" s="127"/>
      <c r="AT58" s="127">
        <f t="shared" ref="AT58" si="149">SUM(AT59:AT61)</f>
        <v>0</v>
      </c>
      <c r="AU58" s="196">
        <f t="shared" ref="AU58:AU61" si="150">AM58-SUM(AN58:AQ58,AR58:AS58,AT58)</f>
        <v>0</v>
      </c>
      <c r="AW58" s="2"/>
      <c r="AX58" s="6" t="s">
        <v>578</v>
      </c>
      <c r="AY58" s="185"/>
      <c r="AZ58" s="126"/>
      <c r="BA58" s="127"/>
      <c r="BB58" s="127"/>
      <c r="BC58" s="127"/>
      <c r="BD58" s="127"/>
      <c r="BE58" s="127"/>
      <c r="BF58" s="127">
        <f t="shared" ref="BF58" si="151">SUM(BF59:BF61)</f>
        <v>0</v>
      </c>
      <c r="BG58" s="123">
        <f t="shared" ref="BG58:BG61" si="152">AY58-SUM(AZ58:BC58,BD58:BE58,BF58)</f>
        <v>0</v>
      </c>
      <c r="BI58" s="69" t="str">
        <f>IF(OR(K58&lt;0,W58&lt;0,AI58&lt;0,AU58&lt;0,BG58&lt;0),"!! Total must be &gt;= sum by situation",IF(OR(C58&lt;SUM(O58,AA58,AM58,AY58),D58&lt;SUM(P58,AB58,AN58,AZ58),E58&lt;SUM(Q58,AC58,AO58,BA58),F58&lt;SUM(R58,AD58,AP58,BB58),G58&lt;SUM(S58,AE58,AQ58,BC58),H58&lt;SUM(T58,AF58,AR58,BD58),I58&lt;SUM(U58,AG58,AS58,BE58),J58&lt;SUM(V58,AH58,AT58,BF58)),"!! Values in FU1 must be &gt;= sum of values in FU2 - FU5",""))</f>
        <v/>
      </c>
      <c r="BK58" s="265"/>
    </row>
    <row r="59" spans="1:63" x14ac:dyDescent="0.2">
      <c r="A59" s="194"/>
      <c r="B59" s="195" t="s">
        <v>6</v>
      </c>
      <c r="C59" s="185"/>
      <c r="D59" s="126"/>
      <c r="E59" s="127"/>
      <c r="F59" s="127"/>
      <c r="G59" s="127"/>
      <c r="H59" s="127"/>
      <c r="I59" s="127"/>
      <c r="J59" s="127">
        <v>0</v>
      </c>
      <c r="K59" s="196">
        <f t="shared" si="145"/>
        <v>0</v>
      </c>
      <c r="M59" s="194"/>
      <c r="N59" s="195" t="s">
        <v>6</v>
      </c>
      <c r="O59" s="185"/>
      <c r="P59" s="126"/>
      <c r="Q59" s="127"/>
      <c r="R59" s="127"/>
      <c r="S59" s="127"/>
      <c r="T59" s="127"/>
      <c r="U59" s="127"/>
      <c r="V59" s="127">
        <v>0</v>
      </c>
      <c r="W59" s="196">
        <f t="shared" si="147"/>
        <v>0</v>
      </c>
      <c r="Y59" s="194"/>
      <c r="Z59" s="195" t="s">
        <v>6</v>
      </c>
      <c r="AA59" s="185"/>
      <c r="AB59" s="126"/>
      <c r="AC59" s="127"/>
      <c r="AD59" s="127"/>
      <c r="AE59" s="127"/>
      <c r="AF59" s="127"/>
      <c r="AG59" s="127"/>
      <c r="AH59" s="127"/>
      <c r="AI59" s="196">
        <f t="shared" si="148"/>
        <v>0</v>
      </c>
      <c r="AK59" s="194"/>
      <c r="AL59" s="195" t="s">
        <v>6</v>
      </c>
      <c r="AM59" s="185"/>
      <c r="AN59" s="126"/>
      <c r="AO59" s="127"/>
      <c r="AP59" s="127"/>
      <c r="AQ59" s="127"/>
      <c r="AR59" s="127"/>
      <c r="AS59" s="127"/>
      <c r="AT59" s="127">
        <v>0</v>
      </c>
      <c r="AU59" s="196">
        <f t="shared" si="150"/>
        <v>0</v>
      </c>
      <c r="AW59" s="2"/>
      <c r="AX59" s="6" t="s">
        <v>6</v>
      </c>
      <c r="AY59" s="185"/>
      <c r="AZ59" s="126"/>
      <c r="BA59" s="127"/>
      <c r="BB59" s="127"/>
      <c r="BC59" s="127"/>
      <c r="BD59" s="127"/>
      <c r="BE59" s="127"/>
      <c r="BF59" s="127">
        <v>0</v>
      </c>
      <c r="BG59" s="123">
        <f t="shared" si="152"/>
        <v>0</v>
      </c>
      <c r="BI59" s="69" t="str">
        <f>IF(OR(K59&lt;0,W59&lt;0,AI59&lt;0,AU59&lt;0,BG59&lt;0),"!! Total must be &gt;= sum by situation",IF(OR(C59&lt;SUM(O59,AA59,AM59,AY59),D59&lt;SUM(P59,AB59,AN59,AZ59),E59&lt;SUM(Q59,AC59,AO59,BA59),F59&lt;SUM(R59,AD59,AP59,BB59),G59&lt;SUM(S59,AE59,AQ59,BC59),H59&lt;SUM(T59,AF59,AR59,BD59),I59&lt;SUM(U59,AG59,AS59,BE59),J59&lt;SUM(V59,AH59,AT59,BF59)),"!! Values in FU1 must be &gt;= sum of values in FU2 - FU5",""))</f>
        <v/>
      </c>
      <c r="BK59" s="265"/>
    </row>
    <row r="60" spans="1:63" x14ac:dyDescent="0.2">
      <c r="A60" s="194"/>
      <c r="B60" s="195" t="s">
        <v>7</v>
      </c>
      <c r="C60" s="185"/>
      <c r="D60" s="126"/>
      <c r="E60" s="126"/>
      <c r="F60" s="126"/>
      <c r="G60" s="126"/>
      <c r="H60" s="126"/>
      <c r="I60" s="126"/>
      <c r="J60" s="127">
        <v>0</v>
      </c>
      <c r="K60" s="196">
        <f t="shared" si="145"/>
        <v>0</v>
      </c>
      <c r="M60" s="194"/>
      <c r="N60" s="195" t="s">
        <v>7</v>
      </c>
      <c r="O60" s="185"/>
      <c r="P60" s="126"/>
      <c r="Q60" s="126"/>
      <c r="R60" s="126"/>
      <c r="S60" s="126"/>
      <c r="T60" s="126"/>
      <c r="U60" s="126"/>
      <c r="V60" s="127">
        <v>0</v>
      </c>
      <c r="W60" s="196">
        <f t="shared" si="147"/>
        <v>0</v>
      </c>
      <c r="Y60" s="194"/>
      <c r="Z60" s="195" t="s">
        <v>7</v>
      </c>
      <c r="AA60" s="185"/>
      <c r="AB60" s="126"/>
      <c r="AC60" s="126"/>
      <c r="AD60" s="126"/>
      <c r="AE60" s="126"/>
      <c r="AF60" s="126"/>
      <c r="AG60" s="126"/>
      <c r="AH60" s="127"/>
      <c r="AI60" s="196">
        <f t="shared" si="148"/>
        <v>0</v>
      </c>
      <c r="AK60" s="194"/>
      <c r="AL60" s="195" t="s">
        <v>7</v>
      </c>
      <c r="AM60" s="185"/>
      <c r="AN60" s="126"/>
      <c r="AO60" s="126"/>
      <c r="AP60" s="126"/>
      <c r="AQ60" s="126"/>
      <c r="AR60" s="126"/>
      <c r="AS60" s="126"/>
      <c r="AT60" s="127">
        <v>0</v>
      </c>
      <c r="AU60" s="196">
        <f t="shared" si="150"/>
        <v>0</v>
      </c>
      <c r="AW60" s="2"/>
      <c r="AX60" s="6" t="s">
        <v>7</v>
      </c>
      <c r="AY60" s="185"/>
      <c r="AZ60" s="126"/>
      <c r="BA60" s="126"/>
      <c r="BB60" s="126"/>
      <c r="BC60" s="126"/>
      <c r="BD60" s="126"/>
      <c r="BE60" s="126"/>
      <c r="BF60" s="127">
        <v>0</v>
      </c>
      <c r="BG60" s="123">
        <f t="shared" si="152"/>
        <v>0</v>
      </c>
      <c r="BI60" s="69" t="str">
        <f t="shared" ref="BI60:BI61" si="153">IF(OR(K60&lt;0,W60&lt;0,AI60&lt;0,AU60&lt;0,BG60&lt;0),"!! Total must be &gt;= sum by situation",IF(OR(C60&lt;SUM(O60,AA60,AM60,AY60),D60&lt;SUM(P60,AB60,AN60,AZ60),E60&lt;SUM(Q60,AC60,AO60,BA60),F60&lt;SUM(R60,AD60,AP60,BB60),G60&lt;SUM(S60,AE60,AQ60,BC60),H60&lt;SUM(T60,AF60,AR60,BD60),I60&lt;SUM(U60,AG60,AS60,BE60),J60&lt;SUM(V60,AH60,AT60,BF60)),"!! Values in FU1 must be &gt;= sum of values in FU2 - FU5",""))</f>
        <v/>
      </c>
      <c r="BK60" s="265"/>
    </row>
    <row r="61" spans="1:63" x14ac:dyDescent="0.2">
      <c r="A61" s="194"/>
      <c r="B61" s="195" t="s">
        <v>577</v>
      </c>
      <c r="C61" s="185"/>
      <c r="D61" s="126"/>
      <c r="E61" s="127"/>
      <c r="F61" s="127"/>
      <c r="G61" s="127"/>
      <c r="H61" s="127"/>
      <c r="I61" s="127"/>
      <c r="J61" s="127">
        <v>0</v>
      </c>
      <c r="K61" s="196">
        <f t="shared" si="145"/>
        <v>0</v>
      </c>
      <c r="M61" s="194"/>
      <c r="N61" s="195" t="s">
        <v>577</v>
      </c>
      <c r="O61" s="185"/>
      <c r="P61" s="126"/>
      <c r="Q61" s="127"/>
      <c r="R61" s="127"/>
      <c r="S61" s="127"/>
      <c r="T61" s="127"/>
      <c r="U61" s="127"/>
      <c r="V61" s="127">
        <v>0</v>
      </c>
      <c r="W61" s="196">
        <f t="shared" si="147"/>
        <v>0</v>
      </c>
      <c r="Y61" s="194"/>
      <c r="Z61" s="195" t="s">
        <v>577</v>
      </c>
      <c r="AA61" s="185"/>
      <c r="AB61" s="126"/>
      <c r="AC61" s="127"/>
      <c r="AD61" s="127"/>
      <c r="AE61" s="127"/>
      <c r="AF61" s="127"/>
      <c r="AG61" s="127"/>
      <c r="AH61" s="127"/>
      <c r="AI61" s="196">
        <f t="shared" si="148"/>
        <v>0</v>
      </c>
      <c r="AK61" s="194"/>
      <c r="AL61" s="195" t="s">
        <v>577</v>
      </c>
      <c r="AM61" s="185"/>
      <c r="AN61" s="126"/>
      <c r="AO61" s="127"/>
      <c r="AP61" s="127"/>
      <c r="AQ61" s="127"/>
      <c r="AR61" s="127"/>
      <c r="AS61" s="127"/>
      <c r="AT61" s="127">
        <v>0</v>
      </c>
      <c r="AU61" s="196">
        <f t="shared" si="150"/>
        <v>0</v>
      </c>
      <c r="AW61" s="2"/>
      <c r="AX61" s="6" t="s">
        <v>577</v>
      </c>
      <c r="AY61" s="185"/>
      <c r="AZ61" s="126"/>
      <c r="BA61" s="127"/>
      <c r="BB61" s="127"/>
      <c r="BC61" s="127"/>
      <c r="BD61" s="127"/>
      <c r="BE61" s="127"/>
      <c r="BF61" s="127">
        <v>0</v>
      </c>
      <c r="BG61" s="123">
        <f t="shared" si="152"/>
        <v>0</v>
      </c>
      <c r="BI61" s="69" t="str">
        <f t="shared" si="153"/>
        <v/>
      </c>
      <c r="BK61" s="265"/>
    </row>
    <row r="62" spans="1:63" x14ac:dyDescent="0.2">
      <c r="A62" s="183" t="s">
        <v>5</v>
      </c>
      <c r="B62" s="179"/>
      <c r="C62" s="172" t="str">
        <f>C$18</f>
        <v>Total</v>
      </c>
      <c r="D62" s="180" t="str">
        <f t="shared" ref="D62:J62" si="154">D$18</f>
        <v>Employment</v>
      </c>
      <c r="E62" s="180" t="str">
        <f t="shared" si="154"/>
        <v>Education</v>
      </c>
      <c r="F62" s="180" t="str">
        <f t="shared" si="154"/>
        <v>Apprenticeship</v>
      </c>
      <c r="G62" s="180" t="str">
        <f t="shared" si="154"/>
        <v>Traineeship</v>
      </c>
      <c r="H62" s="180" t="str">
        <f t="shared" si="154"/>
        <v>Unemployment</v>
      </c>
      <c r="I62" s="180" t="str">
        <f t="shared" si="154"/>
        <v>Inactivity</v>
      </c>
      <c r="J62" s="180" t="str">
        <f t="shared" si="154"/>
        <v>Not applicable</v>
      </c>
      <c r="K62" s="182" t="str">
        <f t="shared" ref="K62" si="155">K$18</f>
        <v>Unknown</v>
      </c>
      <c r="M62" s="183" t="s">
        <v>5</v>
      </c>
      <c r="N62" s="179"/>
      <c r="O62" s="172" t="str">
        <f>O$18</f>
        <v>Total</v>
      </c>
      <c r="P62" s="180" t="str">
        <f t="shared" ref="P62:V62" si="156">P$18</f>
        <v>Employment</v>
      </c>
      <c r="Q62" s="180" t="str">
        <f t="shared" si="156"/>
        <v>Education</v>
      </c>
      <c r="R62" s="180" t="str">
        <f t="shared" si="156"/>
        <v>Apprenticeship</v>
      </c>
      <c r="S62" s="180" t="str">
        <f t="shared" si="156"/>
        <v>Traineeship</v>
      </c>
      <c r="T62" s="180" t="str">
        <f t="shared" si="156"/>
        <v>Unemployment</v>
      </c>
      <c r="U62" s="180" t="str">
        <f t="shared" si="156"/>
        <v>Inactivity</v>
      </c>
      <c r="V62" s="180" t="str">
        <f t="shared" si="156"/>
        <v>Not applicable</v>
      </c>
      <c r="W62" s="182" t="str">
        <f t="shared" ref="W62" si="157">W$18</f>
        <v>Unknown</v>
      </c>
      <c r="Y62" s="183" t="s">
        <v>5</v>
      </c>
      <c r="Z62" s="179"/>
      <c r="AA62" s="172" t="str">
        <f>AA$18</f>
        <v>Total</v>
      </c>
      <c r="AB62" s="180" t="str">
        <f t="shared" ref="AB62:AH62" si="158">AB$18</f>
        <v>Employment</v>
      </c>
      <c r="AC62" s="180" t="str">
        <f t="shared" si="158"/>
        <v>Education</v>
      </c>
      <c r="AD62" s="180" t="str">
        <f t="shared" si="158"/>
        <v>Apprenticeship</v>
      </c>
      <c r="AE62" s="180" t="str">
        <f t="shared" si="158"/>
        <v>Traineeship</v>
      </c>
      <c r="AF62" s="180" t="str">
        <f t="shared" si="158"/>
        <v>Unemployment</v>
      </c>
      <c r="AG62" s="180" t="str">
        <f t="shared" si="158"/>
        <v>Inactivity</v>
      </c>
      <c r="AH62" s="180" t="str">
        <f t="shared" si="158"/>
        <v>Not applicable</v>
      </c>
      <c r="AI62" s="182" t="str">
        <f t="shared" ref="AI62" si="159">AI$18</f>
        <v>Unknown</v>
      </c>
      <c r="AK62" s="183" t="s">
        <v>5</v>
      </c>
      <c r="AL62" s="179"/>
      <c r="AM62" s="172" t="str">
        <f>AM$18</f>
        <v>Total</v>
      </c>
      <c r="AN62" s="180" t="str">
        <f t="shared" ref="AN62:AT62" si="160">AN$18</f>
        <v>Employment</v>
      </c>
      <c r="AO62" s="180" t="str">
        <f t="shared" si="160"/>
        <v>Education</v>
      </c>
      <c r="AP62" s="180" t="str">
        <f t="shared" si="160"/>
        <v>Apprenticeship</v>
      </c>
      <c r="AQ62" s="180" t="str">
        <f t="shared" si="160"/>
        <v>Traineeship</v>
      </c>
      <c r="AR62" s="180" t="str">
        <f t="shared" si="160"/>
        <v>Unemployment</v>
      </c>
      <c r="AS62" s="180" t="str">
        <f t="shared" si="160"/>
        <v>Inactivity</v>
      </c>
      <c r="AT62" s="180" t="str">
        <f t="shared" si="160"/>
        <v>Not applicable</v>
      </c>
      <c r="AU62" s="182" t="str">
        <f t="shared" ref="AU62" si="161">AU$18</f>
        <v>Unknown</v>
      </c>
      <c r="AW62" s="183" t="s">
        <v>5</v>
      </c>
      <c r="AX62" s="179"/>
      <c r="AY62" s="172" t="str">
        <f>AY$18</f>
        <v>Total</v>
      </c>
      <c r="AZ62" s="180" t="str">
        <f t="shared" ref="AZ62:BF62" si="162">AZ$18</f>
        <v>Employment</v>
      </c>
      <c r="BA62" s="180" t="str">
        <f t="shared" si="162"/>
        <v>Education</v>
      </c>
      <c r="BB62" s="180" t="str">
        <f t="shared" si="162"/>
        <v>Apprenticeship</v>
      </c>
      <c r="BC62" s="180" t="str">
        <f t="shared" si="162"/>
        <v>Traineeship</v>
      </c>
      <c r="BD62" s="180" t="str">
        <f t="shared" si="162"/>
        <v>Unemployment</v>
      </c>
      <c r="BE62" s="180" t="str">
        <f t="shared" si="162"/>
        <v>Inactivity</v>
      </c>
      <c r="BF62" s="180" t="str">
        <f t="shared" si="162"/>
        <v>Not applicable</v>
      </c>
      <c r="BG62" s="182" t="str">
        <f t="shared" ref="BG62" si="163">BG$18</f>
        <v>Unknown</v>
      </c>
      <c r="BI62" s="69"/>
      <c r="BK62" s="265"/>
    </row>
    <row r="63" spans="1:63" x14ac:dyDescent="0.2">
      <c r="A63" s="194"/>
      <c r="B63" s="195" t="s">
        <v>578</v>
      </c>
      <c r="C63" s="185"/>
      <c r="D63" s="126"/>
      <c r="E63" s="127"/>
      <c r="F63" s="127"/>
      <c r="G63" s="127"/>
      <c r="H63" s="127"/>
      <c r="I63" s="127"/>
      <c r="J63" s="127">
        <f t="shared" ref="J63" si="164">SUM(J64:J66)</f>
        <v>0</v>
      </c>
      <c r="K63" s="196">
        <f t="shared" ref="K63:K65" si="165">C63-SUM(D63:G63,H63:I63,J63)</f>
        <v>0</v>
      </c>
      <c r="M63" s="194"/>
      <c r="N63" s="195" t="s">
        <v>578</v>
      </c>
      <c r="O63" s="185"/>
      <c r="P63" s="126"/>
      <c r="Q63" s="127"/>
      <c r="R63" s="127"/>
      <c r="S63" s="127"/>
      <c r="T63" s="127"/>
      <c r="U63" s="127"/>
      <c r="V63" s="127">
        <f t="shared" ref="V63" si="166">SUM(V64:V66)</f>
        <v>0</v>
      </c>
      <c r="W63" s="196">
        <f t="shared" ref="W63:W65" si="167">O63-SUM(P63:S63,T63:U63,V63)</f>
        <v>0</v>
      </c>
      <c r="Y63" s="194"/>
      <c r="Z63" s="195" t="s">
        <v>578</v>
      </c>
      <c r="AA63" s="185"/>
      <c r="AB63" s="126"/>
      <c r="AC63" s="127"/>
      <c r="AD63" s="127"/>
      <c r="AE63" s="127"/>
      <c r="AF63" s="127"/>
      <c r="AG63" s="127"/>
      <c r="AH63" s="127">
        <f t="shared" ref="AH63" si="168">SUM(AH64:AH66)</f>
        <v>0</v>
      </c>
      <c r="AI63" s="196">
        <f t="shared" ref="AI63:AI65" si="169">AA63-SUM(AB63:AE63,AF63:AG63,AH63)</f>
        <v>0</v>
      </c>
      <c r="AK63" s="194"/>
      <c r="AL63" s="195" t="s">
        <v>578</v>
      </c>
      <c r="AM63" s="185"/>
      <c r="AN63" s="126"/>
      <c r="AO63" s="127"/>
      <c r="AP63" s="127"/>
      <c r="AQ63" s="127"/>
      <c r="AR63" s="127"/>
      <c r="AS63" s="127"/>
      <c r="AT63" s="127">
        <f t="shared" ref="AT63" si="170">SUM(AT64:AT66)</f>
        <v>0</v>
      </c>
      <c r="AU63" s="196">
        <f t="shared" ref="AU63:AU65" si="171">AM63-SUM(AN63:AQ63,AR63:AS63,AT63)</f>
        <v>0</v>
      </c>
      <c r="AW63" s="2"/>
      <c r="AX63" s="6" t="s">
        <v>578</v>
      </c>
      <c r="AY63" s="185"/>
      <c r="AZ63" s="126"/>
      <c r="BA63" s="127"/>
      <c r="BB63" s="127"/>
      <c r="BC63" s="127"/>
      <c r="BD63" s="127"/>
      <c r="BE63" s="127"/>
      <c r="BF63" s="127">
        <f t="shared" ref="BF63" si="172">SUM(BF64:BF66)</f>
        <v>0</v>
      </c>
      <c r="BG63" s="123">
        <f t="shared" ref="BG63:BG65" si="173">AY63-SUM(AZ63:BC63,BD63:BE63,BF63)</f>
        <v>0</v>
      </c>
      <c r="BI63" s="69" t="str">
        <f>IF(OR(K63&lt;0,W63&lt;0,AI63&lt;0,AU63&lt;0,BG63&lt;0),"!! Total must be &gt;= sum by situation",IF(OR(C63&lt;SUM(O63,AA63,AM63,AY63),D63&lt;SUM(P63,AB63,AN63,AZ63),E63&lt;SUM(Q63,AC63,AO63,BA63),F63&lt;SUM(R63,AD63,AP63,BB63),G63&lt;SUM(S63,AE63,AQ63,BC63),H63&lt;SUM(T63,AF63,AR63,BD63),I63&lt;SUM(U63,AG63,AS63,BE63),J63&lt;SUM(V63,AH63,AT63,BF63)),"!! Values in FU1 must be &gt;= sum of values in FU2 - FU5",""))</f>
        <v/>
      </c>
      <c r="BK63" s="265"/>
    </row>
    <row r="64" spans="1:63" x14ac:dyDescent="0.2">
      <c r="A64" s="194"/>
      <c r="B64" s="195" t="s">
        <v>6</v>
      </c>
      <c r="C64" s="185"/>
      <c r="D64" s="126"/>
      <c r="E64" s="127"/>
      <c r="F64" s="127"/>
      <c r="G64" s="127"/>
      <c r="H64" s="127"/>
      <c r="I64" s="127"/>
      <c r="J64" s="127">
        <v>0</v>
      </c>
      <c r="K64" s="196">
        <f t="shared" si="165"/>
        <v>0</v>
      </c>
      <c r="M64" s="194"/>
      <c r="N64" s="195" t="s">
        <v>6</v>
      </c>
      <c r="O64" s="185"/>
      <c r="P64" s="126"/>
      <c r="Q64" s="127"/>
      <c r="R64" s="127"/>
      <c r="S64" s="127"/>
      <c r="T64" s="127"/>
      <c r="U64" s="127"/>
      <c r="V64" s="127">
        <v>0</v>
      </c>
      <c r="W64" s="196">
        <f t="shared" si="167"/>
        <v>0</v>
      </c>
      <c r="Y64" s="194"/>
      <c r="Z64" s="195" t="s">
        <v>6</v>
      </c>
      <c r="AA64" s="185"/>
      <c r="AB64" s="126"/>
      <c r="AC64" s="127"/>
      <c r="AD64" s="127"/>
      <c r="AE64" s="127"/>
      <c r="AF64" s="127"/>
      <c r="AG64" s="127"/>
      <c r="AH64" s="127">
        <v>0</v>
      </c>
      <c r="AI64" s="196">
        <f t="shared" si="169"/>
        <v>0</v>
      </c>
      <c r="AK64" s="194"/>
      <c r="AL64" s="195" t="s">
        <v>6</v>
      </c>
      <c r="AM64" s="185"/>
      <c r="AN64" s="126"/>
      <c r="AO64" s="127"/>
      <c r="AP64" s="127"/>
      <c r="AQ64" s="127"/>
      <c r="AR64" s="127"/>
      <c r="AS64" s="127"/>
      <c r="AT64" s="127">
        <v>0</v>
      </c>
      <c r="AU64" s="196">
        <f t="shared" si="171"/>
        <v>0</v>
      </c>
      <c r="AW64" s="2"/>
      <c r="AX64" s="6" t="s">
        <v>6</v>
      </c>
      <c r="AY64" s="185"/>
      <c r="AZ64" s="126"/>
      <c r="BA64" s="127"/>
      <c r="BB64" s="127"/>
      <c r="BC64" s="127"/>
      <c r="BD64" s="127"/>
      <c r="BE64" s="127"/>
      <c r="BF64" s="127">
        <v>0</v>
      </c>
      <c r="BG64" s="123">
        <f t="shared" si="173"/>
        <v>0</v>
      </c>
      <c r="BI64" s="69" t="str">
        <f>IF(OR(K64&lt;0,W64&lt;0,AI64&lt;0,AU64&lt;0,BG64&lt;0),"!! Total must be &gt;= sum by situation",IF(OR(C64&lt;SUM(O64,AA64,AM64,AY64),D64&lt;SUM(P64,AB64,AN64,AZ64),E64&lt;SUM(Q64,AC64,AO64,BA64),F64&lt;SUM(R64,AD64,AP64,BB64),G64&lt;SUM(S64,AE64,AQ64,BC64),H64&lt;SUM(T64,AF64,AR64,BD64),I64&lt;SUM(U64,AG64,AS64,BE64),J64&lt;SUM(V64,AH64,AT64,BF64)),"!! Values in FU1 must be &gt;= sum of values in FU2 - FU5",""))</f>
        <v/>
      </c>
      <c r="BK64" s="265"/>
    </row>
    <row r="65" spans="1:63" x14ac:dyDescent="0.2">
      <c r="A65" s="194"/>
      <c r="B65" s="195" t="s">
        <v>7</v>
      </c>
      <c r="C65" s="185"/>
      <c r="D65" s="126"/>
      <c r="E65" s="126"/>
      <c r="F65" s="126"/>
      <c r="G65" s="126"/>
      <c r="H65" s="126"/>
      <c r="I65" s="126"/>
      <c r="J65" s="127">
        <v>0</v>
      </c>
      <c r="K65" s="196">
        <f t="shared" si="165"/>
        <v>0</v>
      </c>
      <c r="M65" s="194"/>
      <c r="N65" s="195" t="s">
        <v>7</v>
      </c>
      <c r="O65" s="185"/>
      <c r="P65" s="126"/>
      <c r="Q65" s="126"/>
      <c r="R65" s="126"/>
      <c r="S65" s="126"/>
      <c r="T65" s="126"/>
      <c r="U65" s="126"/>
      <c r="V65" s="127">
        <v>0</v>
      </c>
      <c r="W65" s="196">
        <f t="shared" si="167"/>
        <v>0</v>
      </c>
      <c r="Y65" s="194"/>
      <c r="Z65" s="195" t="s">
        <v>7</v>
      </c>
      <c r="AA65" s="185"/>
      <c r="AB65" s="126"/>
      <c r="AC65" s="126"/>
      <c r="AD65" s="126"/>
      <c r="AE65" s="126"/>
      <c r="AF65" s="126"/>
      <c r="AG65" s="126"/>
      <c r="AH65" s="127">
        <v>0</v>
      </c>
      <c r="AI65" s="196">
        <f t="shared" si="169"/>
        <v>0</v>
      </c>
      <c r="AK65" s="194"/>
      <c r="AL65" s="195" t="s">
        <v>7</v>
      </c>
      <c r="AM65" s="185"/>
      <c r="AN65" s="126"/>
      <c r="AO65" s="126"/>
      <c r="AP65" s="126"/>
      <c r="AQ65" s="126"/>
      <c r="AR65" s="126"/>
      <c r="AS65" s="126"/>
      <c r="AT65" s="127">
        <v>0</v>
      </c>
      <c r="AU65" s="196">
        <f t="shared" si="171"/>
        <v>0</v>
      </c>
      <c r="AW65" s="2"/>
      <c r="AX65" s="6" t="s">
        <v>7</v>
      </c>
      <c r="AY65" s="185"/>
      <c r="AZ65" s="126"/>
      <c r="BA65" s="126"/>
      <c r="BB65" s="126"/>
      <c r="BC65" s="126"/>
      <c r="BD65" s="126"/>
      <c r="BE65" s="126"/>
      <c r="BF65" s="127">
        <v>0</v>
      </c>
      <c r="BG65" s="123">
        <f t="shared" si="173"/>
        <v>0</v>
      </c>
      <c r="BI65" s="69" t="str">
        <f t="shared" ref="BI65:BI66" si="174">IF(OR(K65&lt;0,W65&lt;0,AI65&lt;0,AU65&lt;0,BG65&lt;0),"!! Total must be &gt;= sum by situation",IF(OR(C65&lt;SUM(O65,AA65,AM65,AY65),D65&lt;SUM(P65,AB65,AN65,AZ65),E65&lt;SUM(Q65,AC65,AO65,BA65),F65&lt;SUM(R65,AD65,AP65,BB65),G65&lt;SUM(S65,AE65,AQ65,BC65),H65&lt;SUM(T65,AF65,AR65,BD65),I65&lt;SUM(U65,AG65,AS65,BE65),J65&lt;SUM(V65,AH65,AT65,BF65)),"!! Values in FU1 must be &gt;= sum of values in FU2 - FU5",""))</f>
        <v/>
      </c>
      <c r="BK65" s="265"/>
    </row>
    <row r="66" spans="1:63" ht="16" thickBot="1" x14ac:dyDescent="0.25">
      <c r="A66" s="203"/>
      <c r="B66" s="205" t="s">
        <v>577</v>
      </c>
      <c r="C66" s="186"/>
      <c r="D66" s="128"/>
      <c r="E66" s="129"/>
      <c r="F66" s="129"/>
      <c r="G66" s="129"/>
      <c r="H66" s="129"/>
      <c r="I66" s="129"/>
      <c r="J66" s="129">
        <v>0</v>
      </c>
      <c r="K66" s="204">
        <f>C66-SUM(D66:G66,H66:I66,J66)</f>
        <v>0</v>
      </c>
      <c r="M66" s="203"/>
      <c r="N66" s="205" t="s">
        <v>577</v>
      </c>
      <c r="O66" s="186"/>
      <c r="P66" s="128"/>
      <c r="Q66" s="129"/>
      <c r="R66" s="129"/>
      <c r="S66" s="129"/>
      <c r="T66" s="129"/>
      <c r="U66" s="129"/>
      <c r="V66" s="129">
        <v>0</v>
      </c>
      <c r="W66" s="204">
        <f>O66-SUM(P66:S66,T66:U66,V66)</f>
        <v>0</v>
      </c>
      <c r="Y66" s="203"/>
      <c r="Z66" s="205" t="s">
        <v>577</v>
      </c>
      <c r="AA66" s="186"/>
      <c r="AB66" s="128"/>
      <c r="AC66" s="129"/>
      <c r="AD66" s="129"/>
      <c r="AE66" s="129"/>
      <c r="AF66" s="129"/>
      <c r="AG66" s="129"/>
      <c r="AH66" s="129">
        <v>0</v>
      </c>
      <c r="AI66" s="204">
        <f>AA66-SUM(AB66:AE66,AF66:AG66,AH66)</f>
        <v>0</v>
      </c>
      <c r="AK66" s="203"/>
      <c r="AL66" s="205" t="s">
        <v>577</v>
      </c>
      <c r="AM66" s="186"/>
      <c r="AN66" s="128"/>
      <c r="AO66" s="129"/>
      <c r="AP66" s="129"/>
      <c r="AQ66" s="129"/>
      <c r="AR66" s="129"/>
      <c r="AS66" s="129"/>
      <c r="AT66" s="129">
        <v>0</v>
      </c>
      <c r="AU66" s="204">
        <f>AM66-SUM(AN66:AQ66,AR66:AS66,AT66)</f>
        <v>0</v>
      </c>
      <c r="AW66" s="3"/>
      <c r="AX66" s="7" t="s">
        <v>577</v>
      </c>
      <c r="AY66" s="186"/>
      <c r="AZ66" s="128"/>
      <c r="BA66" s="129"/>
      <c r="BB66" s="129"/>
      <c r="BC66" s="129"/>
      <c r="BD66" s="129"/>
      <c r="BE66" s="129"/>
      <c r="BF66" s="129">
        <v>0</v>
      </c>
      <c r="BG66" s="124">
        <f>AY66-SUM(AZ66:BC66,BD66:BE66,BF66)</f>
        <v>0</v>
      </c>
      <c r="BI66" s="70" t="str">
        <f t="shared" si="174"/>
        <v/>
      </c>
      <c r="BK66" s="266"/>
    </row>
    <row r="67" spans="1:63" ht="16" thickTop="1" x14ac:dyDescent="0.2">
      <c r="O67" s="184"/>
    </row>
  </sheetData>
  <sheetProtection algorithmName="SHA-512" hashValue="SFSXPt1Qha+M9r/7+EopDDJO1sLvW/80NL+8XtJr3tl1IPuZBgdeJrIkBj8chnCKz90DHgGaipM0iQtU4UJSGw==" saltValue="2NrqcvUTZc+0ms/kddGI2A==" spinCount="100000" sheet="1" formatCells="0" formatColumns="0" formatRows="0"/>
  <mergeCells count="59">
    <mergeCell ref="A13:B16"/>
    <mergeCell ref="C13:C15"/>
    <mergeCell ref="D13:K13"/>
    <mergeCell ref="M13:N16"/>
    <mergeCell ref="O13:O15"/>
    <mergeCell ref="AW12:BG12"/>
    <mergeCell ref="P13:W13"/>
    <mergeCell ref="W14:W16"/>
    <mergeCell ref="AB15:AE15"/>
    <mergeCell ref="AN14:AQ14"/>
    <mergeCell ref="AR14:AS14"/>
    <mergeCell ref="Y13:Z16"/>
    <mergeCell ref="AA13:AA15"/>
    <mergeCell ref="AB13:AI13"/>
    <mergeCell ref="AK13:AL16"/>
    <mergeCell ref="AM13:AM15"/>
    <mergeCell ref="AN13:AU13"/>
    <mergeCell ref="AB14:AE14"/>
    <mergeCell ref="AF14:AG14"/>
    <mergeCell ref="AF15:AF16"/>
    <mergeCell ref="AG15:AG16"/>
    <mergeCell ref="P14:S14"/>
    <mergeCell ref="T14:U14"/>
    <mergeCell ref="V14:V16"/>
    <mergeCell ref="Y12:AI12"/>
    <mergeCell ref="AK12:AU12"/>
    <mergeCell ref="AN15:AQ15"/>
    <mergeCell ref="AW13:AX16"/>
    <mergeCell ref="AY13:AY15"/>
    <mergeCell ref="AZ13:BG13"/>
    <mergeCell ref="M3:W7"/>
    <mergeCell ref="A12:K12"/>
    <mergeCell ref="M12:W12"/>
    <mergeCell ref="D15:G15"/>
    <mergeCell ref="H15:H16"/>
    <mergeCell ref="I15:I16"/>
    <mergeCell ref="P15:S15"/>
    <mergeCell ref="T15:T16"/>
    <mergeCell ref="U15:U16"/>
    <mergeCell ref="D14:G14"/>
    <mergeCell ref="H14:I14"/>
    <mergeCell ref="J14:J16"/>
    <mergeCell ref="K14:K16"/>
    <mergeCell ref="BI14:BI16"/>
    <mergeCell ref="BK14:BK17"/>
    <mergeCell ref="BK18:BK66"/>
    <mergeCell ref="AH14:AH16"/>
    <mergeCell ref="AI14:AI16"/>
    <mergeCell ref="AR15:AR16"/>
    <mergeCell ref="AS15:AS16"/>
    <mergeCell ref="AZ15:BC15"/>
    <mergeCell ref="BF14:BF16"/>
    <mergeCell ref="BG14:BG16"/>
    <mergeCell ref="AT14:AT16"/>
    <mergeCell ref="AU14:AU16"/>
    <mergeCell ref="AZ14:BC14"/>
    <mergeCell ref="BD14:BE14"/>
    <mergeCell ref="BD15:BD16"/>
    <mergeCell ref="BE15:BE16"/>
  </mergeCells>
  <conditionalFormatting sqref="K19:K66 W19:W66 AI19:AI66 AU19:AU66 BG19:BG66">
    <cfRule type="expression" dxfId="4" priority="35">
      <formula>K19&lt;0</formula>
    </cfRule>
  </conditionalFormatting>
  <pageMargins left="0.23622047244094491" right="0.23622047244094491" top="0.35433070866141736" bottom="0.55118110236220474" header="0.31496062992125984" footer="0.11811023622047245"/>
  <pageSetup paperSize="9" orientation="landscape" r:id="rId1"/>
  <headerFooter>
    <oddFooter>&amp;LYG monitoring (pilot)&amp;R&amp;A\&amp;P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BK67"/>
  <sheetViews>
    <sheetView zoomScaleNormal="100" workbookViewId="0">
      <selection activeCell="AY63" sqref="AY63:BE66"/>
    </sheetView>
  </sheetViews>
  <sheetFormatPr baseColWidth="10" defaultColWidth="9.1640625" defaultRowHeight="15" x14ac:dyDescent="0.2"/>
  <cols>
    <col min="1" max="1" width="2.5" customWidth="1"/>
    <col min="2" max="2" width="19.5" customWidth="1"/>
    <col min="3" max="3" width="9.5" customWidth="1"/>
    <col min="4" max="4" width="9.83203125" customWidth="1"/>
    <col min="5" max="5" width="10.1640625" customWidth="1"/>
    <col min="6" max="7" width="10.5" customWidth="1"/>
    <col min="8" max="8" width="10" customWidth="1"/>
    <col min="9" max="9" width="9.1640625" bestFit="1" customWidth="1"/>
    <col min="10" max="10" width="9.83203125" customWidth="1"/>
    <col min="11" max="11" width="10.5" style="31" customWidth="1"/>
    <col min="13" max="13" width="2.5" customWidth="1"/>
    <col min="14" max="14" width="19.83203125" customWidth="1"/>
    <col min="15" max="15" width="10.83203125" customWidth="1"/>
    <col min="16" max="16" width="9.83203125" customWidth="1"/>
    <col min="17" max="17" width="10.1640625" customWidth="1"/>
    <col min="18" max="19" width="10.5" customWidth="1"/>
    <col min="20" max="20" width="10" customWidth="1"/>
    <col min="21" max="21" width="9.1640625" bestFit="1" customWidth="1"/>
    <col min="22" max="22" width="10.1640625" customWidth="1"/>
    <col min="23" max="23" width="10.5" style="31" customWidth="1"/>
    <col min="25" max="25" width="2.5" customWidth="1"/>
    <col min="26" max="26" width="19.5" customWidth="1"/>
    <col min="27" max="27" width="9.5" customWidth="1"/>
    <col min="28" max="28" width="9.83203125" customWidth="1"/>
    <col min="29" max="29" width="10.1640625" customWidth="1"/>
    <col min="30" max="30" width="12.5" customWidth="1"/>
    <col min="31" max="31" width="14.5" customWidth="1"/>
    <col min="32" max="32" width="10" customWidth="1"/>
    <col min="33" max="33" width="9.1640625" bestFit="1" customWidth="1"/>
    <col min="34" max="34" width="10.1640625" customWidth="1"/>
    <col min="35" max="35" width="10.5" style="31" customWidth="1"/>
    <col min="37" max="37" width="2.5" customWidth="1"/>
    <col min="38" max="38" width="20" customWidth="1"/>
    <col min="39" max="39" width="11.5" customWidth="1"/>
    <col min="40" max="40" width="9.83203125" customWidth="1"/>
    <col min="41" max="41" width="10.1640625" customWidth="1"/>
    <col min="42" max="43" width="10.5" customWidth="1"/>
    <col min="44" max="44" width="10" customWidth="1"/>
    <col min="45" max="45" width="9.1640625" bestFit="1" customWidth="1"/>
    <col min="46" max="46" width="9.83203125" customWidth="1"/>
    <col min="47" max="47" width="10.5" style="31" customWidth="1"/>
    <col min="49" max="49" width="2.5" customWidth="1"/>
    <col min="50" max="50" width="19.83203125" customWidth="1"/>
    <col min="51" max="51" width="10.83203125" customWidth="1"/>
    <col min="52" max="52" width="9.83203125" customWidth="1"/>
    <col min="53" max="53" width="10.1640625" customWidth="1"/>
    <col min="54" max="55" width="10.5" customWidth="1"/>
    <col min="56" max="56" width="10" customWidth="1"/>
    <col min="57" max="57" width="9.1640625" bestFit="1" customWidth="1"/>
    <col min="58" max="58" width="9.83203125" customWidth="1"/>
    <col min="59" max="59" width="10.5" style="31" customWidth="1"/>
    <col min="60" max="60" width="3.5" customWidth="1"/>
    <col min="61" max="61" width="49.5" style="67" customWidth="1"/>
    <col min="62" max="62" width="3.5" customWidth="1"/>
    <col min="63" max="63" width="36.5" customWidth="1"/>
  </cols>
  <sheetData>
    <row r="1" spans="1:63" s="11" customFormat="1" ht="19" x14ac:dyDescent="0.25">
      <c r="A1" s="12" t="s">
        <v>230</v>
      </c>
      <c r="K1" s="30"/>
      <c r="M1" s="12"/>
      <c r="W1" s="30"/>
      <c r="Y1" s="12"/>
      <c r="AI1" s="30"/>
      <c r="AK1" s="12"/>
      <c r="AU1" s="30"/>
      <c r="AW1" s="12"/>
      <c r="BG1" s="30"/>
      <c r="BI1" s="66"/>
    </row>
    <row r="2" spans="1:63" ht="16" thickBot="1" x14ac:dyDescent="0.25">
      <c r="A2" s="1"/>
      <c r="B2" s="63"/>
    </row>
    <row r="3" spans="1:63" ht="19" x14ac:dyDescent="0.25">
      <c r="A3" s="93" t="s">
        <v>169</v>
      </c>
      <c r="B3" s="94"/>
      <c r="C3" s="94"/>
      <c r="D3" s="94"/>
      <c r="E3" s="94"/>
      <c r="F3" s="97" t="e">
        <f>RefYear_Main-2</f>
        <v>#REF!</v>
      </c>
      <c r="G3" s="95"/>
      <c r="H3" s="95"/>
      <c r="I3" s="95"/>
      <c r="J3" s="95"/>
      <c r="K3" s="96"/>
      <c r="M3" s="288" t="s">
        <v>187</v>
      </c>
      <c r="N3" s="289"/>
      <c r="O3" s="289"/>
      <c r="P3" s="289"/>
      <c r="Q3" s="289"/>
      <c r="R3" s="289"/>
      <c r="S3" s="289"/>
      <c r="T3" s="289"/>
      <c r="U3" s="289"/>
      <c r="V3" s="289"/>
      <c r="W3" s="290"/>
      <c r="BH3" s="90"/>
      <c r="BI3" s="90"/>
    </row>
    <row r="4" spans="1:63" ht="19" x14ac:dyDescent="0.25">
      <c r="A4" s="130" t="s">
        <v>214</v>
      </c>
      <c r="B4" s="77"/>
      <c r="C4" s="77"/>
      <c r="D4" s="77"/>
      <c r="E4" s="77"/>
      <c r="F4" s="77"/>
      <c r="G4" s="77"/>
      <c r="H4" s="77"/>
      <c r="I4" s="77"/>
      <c r="J4" s="77"/>
      <c r="K4" s="79"/>
      <c r="M4" s="291"/>
      <c r="N4" s="292"/>
      <c r="O4" s="292"/>
      <c r="P4" s="292"/>
      <c r="Q4" s="292"/>
      <c r="R4" s="292"/>
      <c r="S4" s="292"/>
      <c r="T4" s="292"/>
      <c r="U4" s="292"/>
      <c r="V4" s="292"/>
      <c r="W4" s="293"/>
      <c r="BH4" s="90"/>
      <c r="BI4" s="90"/>
    </row>
    <row r="5" spans="1:63" ht="19" x14ac:dyDescent="0.25">
      <c r="A5" s="78"/>
      <c r="B5" s="77" t="s">
        <v>170</v>
      </c>
      <c r="C5" s="153" t="e">
        <f ca="1">IF(12*(YEAR(NOW())-$F$3)+MONTH(NOW())&lt;7,"Partial (some ""Not applicable"")","Yes")</f>
        <v>#REF!</v>
      </c>
      <c r="D5" s="77"/>
      <c r="E5" s="77"/>
      <c r="F5" s="77"/>
      <c r="G5" s="77"/>
      <c r="H5" s="77"/>
      <c r="I5" s="77"/>
      <c r="J5" s="77"/>
      <c r="K5" s="79"/>
      <c r="M5" s="291"/>
      <c r="N5" s="292"/>
      <c r="O5" s="292"/>
      <c r="P5" s="292"/>
      <c r="Q5" s="292"/>
      <c r="R5" s="292"/>
      <c r="S5" s="292"/>
      <c r="T5" s="292"/>
      <c r="U5" s="292"/>
      <c r="V5" s="292"/>
      <c r="W5" s="293"/>
      <c r="BH5" s="90"/>
      <c r="BI5" s="90"/>
    </row>
    <row r="6" spans="1:63" x14ac:dyDescent="0.2">
      <c r="A6" s="78"/>
      <c r="B6" s="77" t="s">
        <v>171</v>
      </c>
      <c r="C6" s="153" t="e">
        <f ca="1">IF(12*(YEAR(NOW())-$F$3)+MONTH(NOW())&lt;13,"Partial (some ""Not applicable"")","Yes")</f>
        <v>#REF!</v>
      </c>
      <c r="D6" s="77"/>
      <c r="E6" s="77"/>
      <c r="F6" s="77"/>
      <c r="G6" s="77"/>
      <c r="H6" s="77"/>
      <c r="I6" s="77"/>
      <c r="J6" s="77"/>
      <c r="K6" s="79"/>
      <c r="M6" s="291"/>
      <c r="N6" s="292"/>
      <c r="O6" s="292"/>
      <c r="P6" s="292"/>
      <c r="Q6" s="292"/>
      <c r="R6" s="292"/>
      <c r="S6" s="292"/>
      <c r="T6" s="292"/>
      <c r="U6" s="292"/>
      <c r="V6" s="292"/>
      <c r="W6" s="293"/>
    </row>
    <row r="7" spans="1:63" ht="16" thickBot="1" x14ac:dyDescent="0.25">
      <c r="A7" s="80"/>
      <c r="B7" s="81" t="s">
        <v>172</v>
      </c>
      <c r="C7" s="152" t="e">
        <f ca="1">IF(12*(YEAR(NOW())-$F$3)+MONTH(NOW())&lt;19,"No", IF(12*(YEAR(NOW())-$F$3)+MONTH(NOW())&lt;31,"Partial (some ""Not applicable"")","Yes"))</f>
        <v>#REF!</v>
      </c>
      <c r="D7" s="81"/>
      <c r="E7" s="81"/>
      <c r="F7" s="81"/>
      <c r="G7" s="81"/>
      <c r="H7" s="81"/>
      <c r="I7" s="81"/>
      <c r="J7" s="81"/>
      <c r="K7" s="82"/>
      <c r="M7" s="294"/>
      <c r="N7" s="295"/>
      <c r="O7" s="295"/>
      <c r="P7" s="295"/>
      <c r="Q7" s="295"/>
      <c r="R7" s="295"/>
      <c r="S7" s="295"/>
      <c r="T7" s="295"/>
      <c r="U7" s="295"/>
      <c r="V7" s="295"/>
      <c r="W7" s="296"/>
      <c r="BH7" s="18"/>
    </row>
    <row r="8" spans="1:63" ht="16" thickBot="1" x14ac:dyDescent="0.25">
      <c r="A8" s="133"/>
      <c r="B8" s="133"/>
      <c r="C8" s="138"/>
      <c r="D8" s="133"/>
      <c r="E8" s="133"/>
      <c r="F8" s="133"/>
      <c r="G8" s="133"/>
      <c r="H8" s="133"/>
      <c r="I8" s="133"/>
      <c r="J8" s="133"/>
      <c r="K8" s="139"/>
      <c r="M8" s="140"/>
      <c r="N8" s="140"/>
      <c r="O8" s="140"/>
      <c r="P8" s="140"/>
      <c r="Q8" s="140"/>
      <c r="R8" s="140"/>
      <c r="S8" s="140"/>
      <c r="T8" s="140"/>
      <c r="U8" s="140"/>
      <c r="V8" s="140"/>
      <c r="W8" s="140"/>
      <c r="AI8" s="141"/>
      <c r="AU8" s="141"/>
      <c r="BG8" s="141"/>
      <c r="BH8" s="18"/>
      <c r="BI8"/>
    </row>
    <row r="9" spans="1:63" s="90" customFormat="1" ht="19" x14ac:dyDescent="0.25">
      <c r="A9" s="145" t="s">
        <v>222</v>
      </c>
      <c r="B9" s="146"/>
      <c r="C9" s="146"/>
      <c r="D9" s="147"/>
      <c r="E9" s="146"/>
      <c r="F9" s="146"/>
      <c r="G9" s="146"/>
      <c r="H9" s="146"/>
      <c r="I9" s="146"/>
      <c r="J9" s="146"/>
      <c r="K9" s="148"/>
      <c r="BH9" s="18"/>
    </row>
    <row r="10" spans="1:63" s="90" customFormat="1" ht="20" thickBot="1" x14ac:dyDescent="0.3">
      <c r="A10" s="154" t="s">
        <v>223</v>
      </c>
      <c r="B10" s="149"/>
      <c r="C10" s="149"/>
      <c r="D10" s="150"/>
      <c r="E10" s="149"/>
      <c r="F10" s="149"/>
      <c r="G10" s="149"/>
      <c r="H10" s="149"/>
      <c r="I10" s="149"/>
      <c r="J10" s="149"/>
      <c r="K10" s="151"/>
      <c r="BH10" s="20"/>
    </row>
    <row r="11" spans="1:63" x14ac:dyDescent="0.2">
      <c r="A11" s="143"/>
      <c r="B11" s="143"/>
      <c r="C11" s="143"/>
      <c r="D11" s="144"/>
      <c r="E11" s="143"/>
      <c r="F11" s="143"/>
      <c r="G11" s="143"/>
      <c r="H11" s="143"/>
      <c r="I11" s="143"/>
      <c r="J11" s="143"/>
      <c r="K11" s="143"/>
      <c r="W11" s="141"/>
      <c r="AI11" s="141"/>
      <c r="AU11" s="141"/>
      <c r="BG11" s="141"/>
      <c r="BI11"/>
    </row>
    <row r="12" spans="1:63" ht="31.5" customHeight="1" thickBot="1" x14ac:dyDescent="0.25">
      <c r="A12" s="272" t="s">
        <v>196</v>
      </c>
      <c r="B12" s="272"/>
      <c r="C12" s="272"/>
      <c r="D12" s="272"/>
      <c r="E12" s="272"/>
      <c r="F12" s="272"/>
      <c r="G12" s="272"/>
      <c r="H12" s="272"/>
      <c r="I12" s="272"/>
      <c r="J12" s="272"/>
      <c r="K12" s="272"/>
      <c r="M12" s="272" t="s">
        <v>197</v>
      </c>
      <c r="N12" s="272"/>
      <c r="O12" s="272"/>
      <c r="P12" s="272"/>
      <c r="Q12" s="272"/>
      <c r="R12" s="272"/>
      <c r="S12" s="272"/>
      <c r="T12" s="272"/>
      <c r="U12" s="272"/>
      <c r="V12" s="272"/>
      <c r="W12" s="272"/>
      <c r="Y12" s="272" t="s">
        <v>198</v>
      </c>
      <c r="Z12" s="272"/>
      <c r="AA12" s="272"/>
      <c r="AB12" s="272"/>
      <c r="AC12" s="272"/>
      <c r="AD12" s="272"/>
      <c r="AE12" s="272"/>
      <c r="AF12" s="272"/>
      <c r="AG12" s="272"/>
      <c r="AH12" s="272"/>
      <c r="AI12" s="272"/>
      <c r="AK12" s="272" t="s">
        <v>199</v>
      </c>
      <c r="AL12" s="272"/>
      <c r="AM12" s="272"/>
      <c r="AN12" s="272"/>
      <c r="AO12" s="272"/>
      <c r="AP12" s="272"/>
      <c r="AQ12" s="272"/>
      <c r="AR12" s="272"/>
      <c r="AS12" s="272"/>
      <c r="AT12" s="272"/>
      <c r="AU12" s="272"/>
      <c r="AW12" s="272" t="s">
        <v>200</v>
      </c>
      <c r="AX12" s="272"/>
      <c r="AY12" s="272"/>
      <c r="AZ12" s="272"/>
      <c r="BA12" s="272"/>
      <c r="BB12" s="272"/>
      <c r="BC12" s="272"/>
      <c r="BD12" s="272"/>
      <c r="BE12" s="272"/>
      <c r="BF12" s="272"/>
      <c r="BG12" s="272"/>
    </row>
    <row r="13" spans="1:63" s="18" customFormat="1" ht="15.75" customHeight="1" thickTop="1" x14ac:dyDescent="0.2">
      <c r="A13" s="339" t="s">
        <v>23</v>
      </c>
      <c r="B13" s="340"/>
      <c r="C13" s="343" t="s">
        <v>92</v>
      </c>
      <c r="D13" s="336" t="s">
        <v>161</v>
      </c>
      <c r="E13" s="336"/>
      <c r="F13" s="336"/>
      <c r="G13" s="336"/>
      <c r="H13" s="336"/>
      <c r="I13" s="337"/>
      <c r="J13" s="337"/>
      <c r="K13" s="338"/>
      <c r="M13" s="339" t="s">
        <v>23</v>
      </c>
      <c r="N13" s="340"/>
      <c r="O13" s="343" t="s">
        <v>165</v>
      </c>
      <c r="P13" s="336" t="s">
        <v>161</v>
      </c>
      <c r="Q13" s="336"/>
      <c r="R13" s="336"/>
      <c r="S13" s="336"/>
      <c r="T13" s="336"/>
      <c r="U13" s="337"/>
      <c r="V13" s="337"/>
      <c r="W13" s="338"/>
      <c r="Y13" s="274" t="s">
        <v>23</v>
      </c>
      <c r="Z13" s="275"/>
      <c r="AA13" s="278" t="s">
        <v>164</v>
      </c>
      <c r="AB13" s="281" t="s">
        <v>161</v>
      </c>
      <c r="AC13" s="281"/>
      <c r="AD13" s="281"/>
      <c r="AE13" s="281"/>
      <c r="AF13" s="281"/>
      <c r="AG13" s="282"/>
      <c r="AH13" s="282"/>
      <c r="AI13" s="283"/>
      <c r="AK13" s="274" t="s">
        <v>23</v>
      </c>
      <c r="AL13" s="275"/>
      <c r="AM13" s="278" t="s">
        <v>163</v>
      </c>
      <c r="AN13" s="281" t="s">
        <v>161</v>
      </c>
      <c r="AO13" s="281"/>
      <c r="AP13" s="281"/>
      <c r="AQ13" s="281"/>
      <c r="AR13" s="281"/>
      <c r="AS13" s="282"/>
      <c r="AT13" s="282"/>
      <c r="AU13" s="283"/>
      <c r="AW13" s="339" t="s">
        <v>23</v>
      </c>
      <c r="AX13" s="340"/>
      <c r="AY13" s="343" t="s">
        <v>162</v>
      </c>
      <c r="AZ13" s="336" t="s">
        <v>161</v>
      </c>
      <c r="BA13" s="336"/>
      <c r="BB13" s="336"/>
      <c r="BC13" s="336"/>
      <c r="BD13" s="336"/>
      <c r="BE13" s="337"/>
      <c r="BF13" s="337"/>
      <c r="BG13" s="338"/>
      <c r="BH13"/>
      <c r="BI13" s="65" t="s">
        <v>113</v>
      </c>
      <c r="BK13" s="72" t="s">
        <v>114</v>
      </c>
    </row>
    <row r="14" spans="1:63" s="18" customFormat="1" ht="15" customHeight="1" x14ac:dyDescent="0.2">
      <c r="A14" s="341"/>
      <c r="B14" s="342"/>
      <c r="C14" s="344"/>
      <c r="D14" s="333" t="s">
        <v>160</v>
      </c>
      <c r="E14" s="333"/>
      <c r="F14" s="333"/>
      <c r="G14" s="333"/>
      <c r="H14" s="334" t="s">
        <v>89</v>
      </c>
      <c r="I14" s="335"/>
      <c r="J14" s="326" t="s">
        <v>221</v>
      </c>
      <c r="K14" s="328" t="s">
        <v>21</v>
      </c>
      <c r="M14" s="341"/>
      <c r="N14" s="342"/>
      <c r="O14" s="344"/>
      <c r="P14" s="333" t="s">
        <v>160</v>
      </c>
      <c r="Q14" s="333"/>
      <c r="R14" s="333"/>
      <c r="S14" s="333"/>
      <c r="T14" s="334" t="s">
        <v>89</v>
      </c>
      <c r="U14" s="335"/>
      <c r="V14" s="326" t="s">
        <v>221</v>
      </c>
      <c r="W14" s="328" t="s">
        <v>21</v>
      </c>
      <c r="Y14" s="276"/>
      <c r="Z14" s="277"/>
      <c r="AA14" s="279"/>
      <c r="AB14" s="273" t="s">
        <v>160</v>
      </c>
      <c r="AC14" s="273"/>
      <c r="AD14" s="273"/>
      <c r="AE14" s="273"/>
      <c r="AF14" s="284" t="s">
        <v>89</v>
      </c>
      <c r="AG14" s="285"/>
      <c r="AH14" s="268" t="s">
        <v>221</v>
      </c>
      <c r="AI14" s="286" t="s">
        <v>21</v>
      </c>
      <c r="AK14" s="276"/>
      <c r="AL14" s="277"/>
      <c r="AM14" s="279"/>
      <c r="AN14" s="273" t="s">
        <v>160</v>
      </c>
      <c r="AO14" s="273"/>
      <c r="AP14" s="273"/>
      <c r="AQ14" s="273"/>
      <c r="AR14" s="284" t="s">
        <v>89</v>
      </c>
      <c r="AS14" s="285"/>
      <c r="AT14" s="268" t="s">
        <v>221</v>
      </c>
      <c r="AU14" s="286" t="s">
        <v>21</v>
      </c>
      <c r="AW14" s="341"/>
      <c r="AX14" s="342"/>
      <c r="AY14" s="344"/>
      <c r="AZ14" s="333" t="s">
        <v>160</v>
      </c>
      <c r="BA14" s="333"/>
      <c r="BB14" s="333"/>
      <c r="BC14" s="333"/>
      <c r="BD14" s="334" t="s">
        <v>89</v>
      </c>
      <c r="BE14" s="335"/>
      <c r="BF14" s="326" t="s">
        <v>221</v>
      </c>
      <c r="BG14" s="328" t="s">
        <v>21</v>
      </c>
      <c r="BH14"/>
      <c r="BI14" s="262" t="s">
        <v>167</v>
      </c>
      <c r="BK14" s="270" t="s">
        <v>115</v>
      </c>
    </row>
    <row r="15" spans="1:63" s="18" customFormat="1" ht="15" customHeight="1" x14ac:dyDescent="0.2">
      <c r="A15" s="341"/>
      <c r="B15" s="342"/>
      <c r="C15" s="345"/>
      <c r="D15" s="333" t="s">
        <v>3</v>
      </c>
      <c r="E15" s="333"/>
      <c r="F15" s="333"/>
      <c r="G15" s="333"/>
      <c r="H15" s="330" t="s">
        <v>104</v>
      </c>
      <c r="I15" s="330" t="s">
        <v>105</v>
      </c>
      <c r="J15" s="327"/>
      <c r="K15" s="329"/>
      <c r="M15" s="341"/>
      <c r="N15" s="342"/>
      <c r="O15" s="345"/>
      <c r="P15" s="333" t="s">
        <v>3</v>
      </c>
      <c r="Q15" s="333"/>
      <c r="R15" s="333"/>
      <c r="S15" s="333"/>
      <c r="T15" s="330" t="s">
        <v>104</v>
      </c>
      <c r="U15" s="330" t="s">
        <v>105</v>
      </c>
      <c r="V15" s="327"/>
      <c r="W15" s="329"/>
      <c r="Y15" s="276"/>
      <c r="Z15" s="277"/>
      <c r="AA15" s="280"/>
      <c r="AB15" s="273" t="s">
        <v>3</v>
      </c>
      <c r="AC15" s="273"/>
      <c r="AD15" s="273"/>
      <c r="AE15" s="273"/>
      <c r="AF15" s="267" t="s">
        <v>104</v>
      </c>
      <c r="AG15" s="267" t="s">
        <v>105</v>
      </c>
      <c r="AH15" s="269"/>
      <c r="AI15" s="287"/>
      <c r="AK15" s="276"/>
      <c r="AL15" s="277"/>
      <c r="AM15" s="280"/>
      <c r="AN15" s="273" t="s">
        <v>3</v>
      </c>
      <c r="AO15" s="273"/>
      <c r="AP15" s="273"/>
      <c r="AQ15" s="273"/>
      <c r="AR15" s="267" t="s">
        <v>104</v>
      </c>
      <c r="AS15" s="267" t="s">
        <v>105</v>
      </c>
      <c r="AT15" s="269"/>
      <c r="AU15" s="287"/>
      <c r="AW15" s="341"/>
      <c r="AX15" s="342"/>
      <c r="AY15" s="345"/>
      <c r="AZ15" s="333" t="s">
        <v>3</v>
      </c>
      <c r="BA15" s="333"/>
      <c r="BB15" s="333"/>
      <c r="BC15" s="333"/>
      <c r="BD15" s="330" t="s">
        <v>104</v>
      </c>
      <c r="BE15" s="330" t="s">
        <v>105</v>
      </c>
      <c r="BF15" s="327"/>
      <c r="BG15" s="329"/>
      <c r="BH15"/>
      <c r="BI15" s="262"/>
      <c r="BK15" s="270"/>
    </row>
    <row r="16" spans="1:63" s="20" customFormat="1" ht="17" thickBot="1" x14ac:dyDescent="0.25">
      <c r="A16" s="341"/>
      <c r="B16" s="342"/>
      <c r="C16" s="187" t="s">
        <v>3</v>
      </c>
      <c r="D16" s="188" t="s">
        <v>100</v>
      </c>
      <c r="E16" s="188" t="s">
        <v>101</v>
      </c>
      <c r="F16" s="188" t="s">
        <v>102</v>
      </c>
      <c r="G16" s="188" t="s">
        <v>103</v>
      </c>
      <c r="H16" s="330"/>
      <c r="I16" s="330"/>
      <c r="J16" s="327"/>
      <c r="K16" s="329"/>
      <c r="M16" s="341"/>
      <c r="N16" s="342"/>
      <c r="O16" s="187" t="s">
        <v>3</v>
      </c>
      <c r="P16" s="188" t="s">
        <v>100</v>
      </c>
      <c r="Q16" s="188" t="s">
        <v>101</v>
      </c>
      <c r="R16" s="188" t="s">
        <v>102</v>
      </c>
      <c r="S16" s="188" t="s">
        <v>103</v>
      </c>
      <c r="T16" s="330"/>
      <c r="U16" s="330"/>
      <c r="V16" s="327"/>
      <c r="W16" s="329"/>
      <c r="Y16" s="276"/>
      <c r="Z16" s="277"/>
      <c r="AA16" s="19" t="s">
        <v>3</v>
      </c>
      <c r="AB16" s="33" t="s">
        <v>100</v>
      </c>
      <c r="AC16" s="33" t="s">
        <v>101</v>
      </c>
      <c r="AD16" s="33" t="s">
        <v>102</v>
      </c>
      <c r="AE16" s="33" t="s">
        <v>103</v>
      </c>
      <c r="AF16" s="267"/>
      <c r="AG16" s="267"/>
      <c r="AH16" s="269"/>
      <c r="AI16" s="287"/>
      <c r="AK16" s="276"/>
      <c r="AL16" s="277"/>
      <c r="AM16" s="19" t="s">
        <v>3</v>
      </c>
      <c r="AN16" s="33" t="s">
        <v>100</v>
      </c>
      <c r="AO16" s="33" t="s">
        <v>101</v>
      </c>
      <c r="AP16" s="33" t="s">
        <v>102</v>
      </c>
      <c r="AQ16" s="33" t="s">
        <v>103</v>
      </c>
      <c r="AR16" s="267"/>
      <c r="AS16" s="267"/>
      <c r="AT16" s="269"/>
      <c r="AU16" s="287"/>
      <c r="AW16" s="341"/>
      <c r="AX16" s="342"/>
      <c r="AY16" s="187" t="s">
        <v>3</v>
      </c>
      <c r="AZ16" s="188" t="s">
        <v>100</v>
      </c>
      <c r="BA16" s="188" t="s">
        <v>101</v>
      </c>
      <c r="BB16" s="188" t="s">
        <v>102</v>
      </c>
      <c r="BC16" s="188" t="s">
        <v>103</v>
      </c>
      <c r="BD16" s="330"/>
      <c r="BE16" s="330"/>
      <c r="BF16" s="327"/>
      <c r="BG16" s="329"/>
      <c r="BH16"/>
      <c r="BI16" s="263"/>
      <c r="BK16" s="270"/>
    </row>
    <row r="17" spans="1:63" ht="16" thickBot="1" x14ac:dyDescent="0.25">
      <c r="A17" s="189" t="s">
        <v>159</v>
      </c>
      <c r="B17" s="190"/>
      <c r="C17" s="177"/>
      <c r="D17" s="191"/>
      <c r="E17" s="192"/>
      <c r="F17" s="192"/>
      <c r="G17" s="192"/>
      <c r="H17" s="192"/>
      <c r="I17" s="192"/>
      <c r="J17" s="192"/>
      <c r="K17" s="193"/>
      <c r="M17" s="189" t="s">
        <v>159</v>
      </c>
      <c r="N17" s="190"/>
      <c r="O17" s="177"/>
      <c r="P17" s="191"/>
      <c r="Q17" s="192"/>
      <c r="R17" s="192"/>
      <c r="S17" s="192"/>
      <c r="T17" s="192"/>
      <c r="U17" s="192"/>
      <c r="V17" s="192"/>
      <c r="W17" s="193"/>
      <c r="Y17" s="21" t="s">
        <v>159</v>
      </c>
      <c r="Z17" s="22"/>
      <c r="AA17" s="23"/>
      <c r="AB17" s="24"/>
      <c r="AC17" s="25"/>
      <c r="AD17" s="25"/>
      <c r="AE17" s="25"/>
      <c r="AF17" s="25"/>
      <c r="AG17" s="25"/>
      <c r="AH17" s="25"/>
      <c r="AI17" s="32"/>
      <c r="AK17" s="21" t="s">
        <v>159</v>
      </c>
      <c r="AL17" s="22"/>
      <c r="AM17" s="23"/>
      <c r="AN17" s="24"/>
      <c r="AO17" s="25"/>
      <c r="AP17" s="25"/>
      <c r="AQ17" s="25"/>
      <c r="AR17" s="25"/>
      <c r="AS17" s="25"/>
      <c r="AT17" s="25"/>
      <c r="AU17" s="32"/>
      <c r="AW17" s="189" t="s">
        <v>159</v>
      </c>
      <c r="AX17" s="190"/>
      <c r="AY17" s="177"/>
      <c r="AZ17" s="191"/>
      <c r="BA17" s="192"/>
      <c r="BB17" s="192"/>
      <c r="BC17" s="192"/>
      <c r="BD17" s="192"/>
      <c r="BE17" s="192"/>
      <c r="BF17" s="192"/>
      <c r="BG17" s="193"/>
      <c r="BI17" s="165"/>
      <c r="BK17" s="271"/>
    </row>
    <row r="18" spans="1:63" x14ac:dyDescent="0.2">
      <c r="A18" s="183" t="s">
        <v>97</v>
      </c>
      <c r="B18" s="179"/>
      <c r="C18" s="172" t="s">
        <v>3</v>
      </c>
      <c r="D18" s="180" t="s">
        <v>15</v>
      </c>
      <c r="E18" s="180" t="s">
        <v>16</v>
      </c>
      <c r="F18" s="180" t="s">
        <v>17</v>
      </c>
      <c r="G18" s="180" t="s">
        <v>18</v>
      </c>
      <c r="H18" s="180" t="s">
        <v>20</v>
      </c>
      <c r="I18" s="181" t="s">
        <v>91</v>
      </c>
      <c r="J18" s="181" t="s">
        <v>221</v>
      </c>
      <c r="K18" s="182" t="s">
        <v>21</v>
      </c>
      <c r="M18" s="183" t="s">
        <v>97</v>
      </c>
      <c r="N18" s="179"/>
      <c r="O18" s="172" t="s">
        <v>3</v>
      </c>
      <c r="P18" s="180" t="s">
        <v>15</v>
      </c>
      <c r="Q18" s="180" t="s">
        <v>16</v>
      </c>
      <c r="R18" s="180" t="s">
        <v>17</v>
      </c>
      <c r="S18" s="180" t="s">
        <v>18</v>
      </c>
      <c r="T18" s="180" t="s">
        <v>20</v>
      </c>
      <c r="U18" s="181" t="s">
        <v>91</v>
      </c>
      <c r="V18" s="181" t="s">
        <v>221</v>
      </c>
      <c r="W18" s="182" t="s">
        <v>21</v>
      </c>
      <c r="Y18" s="183" t="s">
        <v>97</v>
      </c>
      <c r="Z18" s="179"/>
      <c r="AA18" s="172" t="s">
        <v>3</v>
      </c>
      <c r="AB18" s="180" t="s">
        <v>15</v>
      </c>
      <c r="AC18" s="180" t="s">
        <v>16</v>
      </c>
      <c r="AD18" s="180" t="s">
        <v>17</v>
      </c>
      <c r="AE18" s="180" t="s">
        <v>18</v>
      </c>
      <c r="AF18" s="180" t="s">
        <v>20</v>
      </c>
      <c r="AG18" s="181" t="s">
        <v>91</v>
      </c>
      <c r="AH18" s="181" t="s">
        <v>221</v>
      </c>
      <c r="AI18" s="182" t="s">
        <v>21</v>
      </c>
      <c r="AK18" s="183" t="s">
        <v>97</v>
      </c>
      <c r="AL18" s="179"/>
      <c r="AM18" s="172" t="s">
        <v>3</v>
      </c>
      <c r="AN18" s="180" t="s">
        <v>15</v>
      </c>
      <c r="AO18" s="180" t="s">
        <v>16</v>
      </c>
      <c r="AP18" s="180" t="s">
        <v>17</v>
      </c>
      <c r="AQ18" s="180" t="s">
        <v>18</v>
      </c>
      <c r="AR18" s="180" t="s">
        <v>20</v>
      </c>
      <c r="AS18" s="181" t="s">
        <v>91</v>
      </c>
      <c r="AT18" s="181" t="s">
        <v>221</v>
      </c>
      <c r="AU18" s="182" t="s">
        <v>21</v>
      </c>
      <c r="AW18" s="183" t="s">
        <v>97</v>
      </c>
      <c r="AX18" s="179"/>
      <c r="AY18" s="172" t="s">
        <v>3</v>
      </c>
      <c r="AZ18" s="180" t="s">
        <v>15</v>
      </c>
      <c r="BA18" s="180" t="s">
        <v>16</v>
      </c>
      <c r="BB18" s="180" t="s">
        <v>17</v>
      </c>
      <c r="BC18" s="180" t="s">
        <v>18</v>
      </c>
      <c r="BD18" s="180" t="s">
        <v>20</v>
      </c>
      <c r="BE18" s="181" t="s">
        <v>91</v>
      </c>
      <c r="BF18" s="181" t="s">
        <v>221</v>
      </c>
      <c r="BG18" s="182" t="s">
        <v>21</v>
      </c>
      <c r="BI18" s="69" t="str" cm="1">
        <f t="array" ref="BI18">IF(OR(SUM(IF(O19:W22&lt;(O24:W27+O29:W32),1,0)),SUM(IF(C19:K22&lt;(C24:K27+C29:K32),1,0)),SUM(IF(AA19:AI22&lt;(AA24:AI27+AA29:AI32),1,0)), SUM(IF(AM19:AU22&lt;(AM24:AU27+AM29:AU32),1,0)), SUM(IF(AY19:BG22&lt;(AY24:BG27+AY29:BG32),1,0))),"!! Check sum by sex for one or more columns/rows","")</f>
        <v/>
      </c>
      <c r="BK18" s="264"/>
    </row>
    <row r="19" spans="1:63" x14ac:dyDescent="0.2">
      <c r="A19" s="194"/>
      <c r="B19" s="195" t="s">
        <v>578</v>
      </c>
      <c r="C19" s="185"/>
      <c r="D19" s="126"/>
      <c r="E19" s="126"/>
      <c r="F19" s="126"/>
      <c r="G19" s="126"/>
      <c r="H19" s="126"/>
      <c r="I19" s="126"/>
      <c r="J19" s="127">
        <f t="shared" ref="J19" si="0">SUM(J20:J22)</f>
        <v>0</v>
      </c>
      <c r="K19" s="196">
        <f>C19-SUM(D19:G19,H19:I19,J19)</f>
        <v>0</v>
      </c>
      <c r="M19" s="194"/>
      <c r="N19" s="195" t="s">
        <v>578</v>
      </c>
      <c r="O19" s="185"/>
      <c r="P19" s="126"/>
      <c r="Q19" s="126"/>
      <c r="R19" s="126"/>
      <c r="S19" s="126"/>
      <c r="T19" s="126"/>
      <c r="U19" s="126"/>
      <c r="V19" s="127">
        <f t="shared" ref="V19" si="1">SUM(V20:V22)</f>
        <v>0</v>
      </c>
      <c r="W19" s="196">
        <f>O19-SUM(P19:S19,T19:U19,V19)</f>
        <v>0</v>
      </c>
      <c r="Y19" s="2"/>
      <c r="Z19" s="6" t="s">
        <v>578</v>
      </c>
      <c r="AA19" s="125"/>
      <c r="AB19" s="126"/>
      <c r="AC19" s="126"/>
      <c r="AD19" s="126"/>
      <c r="AE19" s="126"/>
      <c r="AF19" s="126"/>
      <c r="AG19" s="126"/>
      <c r="AH19" s="127">
        <f t="shared" ref="AH19" si="2">SUM(AH20:AH22)</f>
        <v>0</v>
      </c>
      <c r="AI19" s="123">
        <f>AA19-SUM(AB19:AE19,AF19:AG19,AH19)</f>
        <v>0</v>
      </c>
      <c r="AK19" s="2"/>
      <c r="AL19" s="6" t="s">
        <v>578</v>
      </c>
      <c r="AM19" s="125"/>
      <c r="AN19" s="126"/>
      <c r="AO19" s="126"/>
      <c r="AP19" s="126"/>
      <c r="AQ19" s="126"/>
      <c r="AR19" s="126"/>
      <c r="AS19" s="126"/>
      <c r="AT19" s="127">
        <f t="shared" ref="AT19" si="3">SUM(AT20:AT22)</f>
        <v>0</v>
      </c>
      <c r="AU19" s="123">
        <f>AM19-SUM(AN19:AQ19,AR19:AS19,AT19)</f>
        <v>0</v>
      </c>
      <c r="AW19" s="194"/>
      <c r="AX19" s="195" t="s">
        <v>578</v>
      </c>
      <c r="AY19" s="185"/>
      <c r="AZ19" s="126"/>
      <c r="BA19" s="126"/>
      <c r="BB19" s="126"/>
      <c r="BC19" s="126"/>
      <c r="BD19" s="126"/>
      <c r="BE19" s="126"/>
      <c r="BF19" s="127">
        <f t="shared" ref="BF19" si="4">SUM(BF20:BF22)</f>
        <v>0</v>
      </c>
      <c r="BG19" s="196">
        <f>AY19-SUM(AZ19:BC19,BD19:BE19,BF19)</f>
        <v>0</v>
      </c>
      <c r="BI19" s="69" t="str">
        <f>IF(OR(K19&lt;0,W19&lt;0,AI19&lt;0,AU19&lt;0,BG19&lt;0),"!! Total must be &gt;= sum by situation",IF(OR(C19&lt;SUM(O19,AA19,AM19,AY19),D19&lt;SUM(P19,AB19,AN19,AZ19),E19&lt;SUM(Q19,AC19,AO19,BA19),F19&lt;SUM(R19,AD19,AP19,BB19),G19&lt;SUM(S19,AE19,AQ19,BC19),H19&lt;SUM(T19,AF19,AR19,BD19),I19&lt;SUM(U19,AG19,AS19,BE19),J19&lt;SUM(V19,AH19,AT19,BF19)),"!! Values in FU1 must be &gt;= sum of values in FU2 - FU5",""))</f>
        <v/>
      </c>
      <c r="BK19" s="265"/>
    </row>
    <row r="20" spans="1:63" x14ac:dyDescent="0.2">
      <c r="A20" s="194"/>
      <c r="B20" s="195" t="s">
        <v>6</v>
      </c>
      <c r="C20" s="185"/>
      <c r="D20" s="126"/>
      <c r="E20" s="126"/>
      <c r="F20" s="126"/>
      <c r="G20" s="126"/>
      <c r="H20" s="126"/>
      <c r="I20" s="126"/>
      <c r="J20" s="127">
        <v>0</v>
      </c>
      <c r="K20" s="196">
        <f t="shared" ref="K20:K22" si="5">C20-SUM(D20:G20,H20:I20,J20)</f>
        <v>0</v>
      </c>
      <c r="M20" s="194"/>
      <c r="N20" s="195" t="s">
        <v>6</v>
      </c>
      <c r="O20" s="185"/>
      <c r="P20" s="126"/>
      <c r="Q20" s="126"/>
      <c r="R20" s="126"/>
      <c r="S20" s="126"/>
      <c r="T20" s="126"/>
      <c r="U20" s="126"/>
      <c r="V20" s="127">
        <v>0</v>
      </c>
      <c r="W20" s="196">
        <f t="shared" ref="W20:W22" si="6">O20-SUM(P20:S20,T20:U20,V20)</f>
        <v>0</v>
      </c>
      <c r="Y20" s="2"/>
      <c r="Z20" s="6" t="s">
        <v>6</v>
      </c>
      <c r="AA20" s="125"/>
      <c r="AB20" s="126"/>
      <c r="AC20" s="126"/>
      <c r="AD20" s="126"/>
      <c r="AE20" s="126"/>
      <c r="AF20" s="126"/>
      <c r="AG20" s="126"/>
      <c r="AH20" s="127">
        <v>0</v>
      </c>
      <c r="AI20" s="123">
        <f t="shared" ref="AI20:AI22" si="7">AA20-SUM(AB20:AE20,AF20:AG20,AH20)</f>
        <v>0</v>
      </c>
      <c r="AK20" s="2"/>
      <c r="AL20" s="6" t="s">
        <v>6</v>
      </c>
      <c r="AM20" s="125"/>
      <c r="AN20" s="126"/>
      <c r="AO20" s="126"/>
      <c r="AP20" s="126"/>
      <c r="AQ20" s="126"/>
      <c r="AR20" s="126"/>
      <c r="AS20" s="126"/>
      <c r="AT20" s="127">
        <v>0</v>
      </c>
      <c r="AU20" s="123">
        <f t="shared" ref="AU20:AU22" si="8">AM20-SUM(AN20:AQ20,AR20:AS20,AT20)</f>
        <v>0</v>
      </c>
      <c r="AW20" s="194"/>
      <c r="AX20" s="195" t="s">
        <v>6</v>
      </c>
      <c r="AY20" s="185"/>
      <c r="AZ20" s="126"/>
      <c r="BA20" s="126"/>
      <c r="BB20" s="126"/>
      <c r="BC20" s="126"/>
      <c r="BD20" s="126"/>
      <c r="BE20" s="126"/>
      <c r="BF20" s="127">
        <v>0</v>
      </c>
      <c r="BG20" s="196">
        <f>AY20-SUM(AZ20:BC20,BD20:BE20,BF20)</f>
        <v>0</v>
      </c>
      <c r="BI20" s="69" t="str">
        <f>IF(OR(K20&lt;0,W20&lt;0,AI20&lt;0,AU20&lt;0,BG20&lt;0),"!! Total must be &gt;= sum by situation",IF(OR(C20&lt;SUM(O20,AA20,AM20,AY20),D20&lt;SUM(P20,AB20,AN20,AZ20),E20&lt;SUM(Q20,AC20,AO20,BA20),F20&lt;SUM(R20,AD20,AP20,BB20),G20&lt;SUM(S20,AE20,AQ20,BC20),H20&lt;SUM(T20,AF20,AR20,BD20),I20&lt;SUM(U20,AG20,AS20,BE20),J20&lt;SUM(V20,AH20,AT20,BF20)),"!! Values in FU1 must be &gt;= sum of values in FU2 - FU5",""))</f>
        <v/>
      </c>
      <c r="BK20" s="265"/>
    </row>
    <row r="21" spans="1:63" x14ac:dyDescent="0.2">
      <c r="A21" s="194"/>
      <c r="B21" s="195" t="s">
        <v>7</v>
      </c>
      <c r="C21" s="185"/>
      <c r="D21" s="126"/>
      <c r="E21" s="126"/>
      <c r="F21" s="126"/>
      <c r="G21" s="126"/>
      <c r="H21" s="126"/>
      <c r="I21" s="126"/>
      <c r="J21" s="127">
        <v>0</v>
      </c>
      <c r="K21" s="196">
        <f t="shared" si="5"/>
        <v>0</v>
      </c>
      <c r="M21" s="194"/>
      <c r="N21" s="195" t="s">
        <v>7</v>
      </c>
      <c r="O21" s="185"/>
      <c r="P21" s="126"/>
      <c r="Q21" s="126"/>
      <c r="R21" s="126"/>
      <c r="S21" s="126"/>
      <c r="T21" s="126"/>
      <c r="U21" s="126"/>
      <c r="V21" s="127">
        <v>0</v>
      </c>
      <c r="W21" s="196">
        <f t="shared" si="6"/>
        <v>0</v>
      </c>
      <c r="Y21" s="2"/>
      <c r="Z21" s="6" t="s">
        <v>7</v>
      </c>
      <c r="AA21" s="125"/>
      <c r="AB21" s="126"/>
      <c r="AC21" s="126"/>
      <c r="AD21" s="126"/>
      <c r="AE21" s="126"/>
      <c r="AF21" s="126"/>
      <c r="AG21" s="126"/>
      <c r="AH21" s="127">
        <v>0</v>
      </c>
      <c r="AI21" s="123">
        <f t="shared" si="7"/>
        <v>0</v>
      </c>
      <c r="AK21" s="2"/>
      <c r="AL21" s="6" t="s">
        <v>7</v>
      </c>
      <c r="AM21" s="125"/>
      <c r="AN21" s="126"/>
      <c r="AO21" s="126"/>
      <c r="AP21" s="126"/>
      <c r="AQ21" s="126"/>
      <c r="AR21" s="126"/>
      <c r="AS21" s="126"/>
      <c r="AT21" s="127">
        <v>0</v>
      </c>
      <c r="AU21" s="123">
        <f t="shared" si="8"/>
        <v>0</v>
      </c>
      <c r="AW21" s="194"/>
      <c r="AX21" s="195" t="s">
        <v>7</v>
      </c>
      <c r="AY21" s="185"/>
      <c r="AZ21" s="126"/>
      <c r="BA21" s="126"/>
      <c r="BB21" s="126"/>
      <c r="BC21" s="126"/>
      <c r="BD21" s="126"/>
      <c r="BE21" s="126"/>
      <c r="BF21" s="127">
        <v>0</v>
      </c>
      <c r="BG21" s="196">
        <f>AY21-SUM(AZ21:BC21,BD21:BE21,BF21)</f>
        <v>0</v>
      </c>
      <c r="BI21" s="69" t="str">
        <f t="shared" ref="BI21:BI22" si="9">IF(OR(K21&lt;0,W21&lt;0,AI21&lt;0,AU21&lt;0,BG21&lt;0),"!! Total must be &gt;= sum by situation",IF(OR(C21&lt;SUM(O21,AA21,AM21,AY21),D21&lt;SUM(P21,AB21,AN21,AZ21),E21&lt;SUM(Q21,AC21,AO21,BA21),F21&lt;SUM(R21,AD21,AP21,BB21),G21&lt;SUM(S21,AE21,AQ21,BC21),H21&lt;SUM(T21,AF21,AR21,BD21),I21&lt;SUM(U21,AG21,AS21,BE21),J21&lt;SUM(V21,AH21,AT21,BF21)),"!! Values in FU1 must be &gt;= sum of values in FU2 - FU5",""))</f>
        <v/>
      </c>
      <c r="BK21" s="265"/>
    </row>
    <row r="22" spans="1:63" x14ac:dyDescent="0.2">
      <c r="A22" s="194"/>
      <c r="B22" s="195" t="s">
        <v>577</v>
      </c>
      <c r="C22" s="185"/>
      <c r="D22" s="126"/>
      <c r="E22" s="126"/>
      <c r="F22" s="126"/>
      <c r="G22" s="126"/>
      <c r="H22" s="126"/>
      <c r="I22" s="126"/>
      <c r="J22" s="127">
        <v>0</v>
      </c>
      <c r="K22" s="196">
        <f t="shared" si="5"/>
        <v>0</v>
      </c>
      <c r="M22" s="194"/>
      <c r="N22" s="195" t="s">
        <v>577</v>
      </c>
      <c r="O22" s="185"/>
      <c r="P22" s="126"/>
      <c r="Q22" s="126"/>
      <c r="R22" s="126"/>
      <c r="S22" s="126"/>
      <c r="T22" s="126"/>
      <c r="U22" s="126"/>
      <c r="V22" s="127">
        <v>0</v>
      </c>
      <c r="W22" s="196">
        <f t="shared" si="6"/>
        <v>0</v>
      </c>
      <c r="Y22" s="2"/>
      <c r="Z22" s="6" t="s">
        <v>577</v>
      </c>
      <c r="AA22" s="125"/>
      <c r="AB22" s="126"/>
      <c r="AC22" s="126"/>
      <c r="AD22" s="126"/>
      <c r="AE22" s="126"/>
      <c r="AF22" s="126"/>
      <c r="AG22" s="126"/>
      <c r="AH22" s="127">
        <v>0</v>
      </c>
      <c r="AI22" s="123">
        <f t="shared" si="7"/>
        <v>0</v>
      </c>
      <c r="AK22" s="2"/>
      <c r="AL22" s="6" t="s">
        <v>577</v>
      </c>
      <c r="AM22" s="125"/>
      <c r="AN22" s="126"/>
      <c r="AO22" s="126"/>
      <c r="AP22" s="126"/>
      <c r="AQ22" s="126"/>
      <c r="AR22" s="126"/>
      <c r="AS22" s="126"/>
      <c r="AT22" s="127">
        <v>0</v>
      </c>
      <c r="AU22" s="123">
        <f t="shared" si="8"/>
        <v>0</v>
      </c>
      <c r="AW22" s="194"/>
      <c r="AX22" s="195" t="s">
        <v>577</v>
      </c>
      <c r="AY22" s="185"/>
      <c r="AZ22" s="126"/>
      <c r="BA22" s="126"/>
      <c r="BB22" s="126"/>
      <c r="BC22" s="126"/>
      <c r="BD22" s="126"/>
      <c r="BE22" s="126"/>
      <c r="BF22" s="127">
        <v>0</v>
      </c>
      <c r="BG22" s="196">
        <f>AY22-SUM(AZ22:BC22,BD22:BE22,BF22)</f>
        <v>0</v>
      </c>
      <c r="BI22" s="69" t="str">
        <f t="shared" si="9"/>
        <v/>
      </c>
      <c r="BK22" s="265"/>
    </row>
    <row r="23" spans="1:63" x14ac:dyDescent="0.2">
      <c r="A23" s="183" t="s">
        <v>4</v>
      </c>
      <c r="B23" s="179"/>
      <c r="C23" s="172" t="str">
        <f>C$18</f>
        <v>Total</v>
      </c>
      <c r="D23" s="180" t="str">
        <f>D$18</f>
        <v>Employment</v>
      </c>
      <c r="E23" s="180" t="str">
        <f t="shared" ref="E23:K23" si="10">E$18</f>
        <v>Education</v>
      </c>
      <c r="F23" s="180" t="str">
        <f t="shared" si="10"/>
        <v>Apprenticeship</v>
      </c>
      <c r="G23" s="180" t="str">
        <f t="shared" si="10"/>
        <v>Traineeship</v>
      </c>
      <c r="H23" s="180" t="str">
        <f t="shared" si="10"/>
        <v>Unemployment</v>
      </c>
      <c r="I23" s="180" t="str">
        <f t="shared" si="10"/>
        <v>Inactivity</v>
      </c>
      <c r="J23" s="180" t="str">
        <f t="shared" si="10"/>
        <v>Not applicable</v>
      </c>
      <c r="K23" s="182" t="str">
        <f t="shared" si="10"/>
        <v>Unknown</v>
      </c>
      <c r="M23" s="183" t="s">
        <v>4</v>
      </c>
      <c r="N23" s="179"/>
      <c r="O23" s="172" t="str">
        <f>O$18</f>
        <v>Total</v>
      </c>
      <c r="P23" s="180" t="str">
        <f>P$18</f>
        <v>Employment</v>
      </c>
      <c r="Q23" s="180" t="str">
        <f t="shared" ref="Q23:W23" si="11">Q$18</f>
        <v>Education</v>
      </c>
      <c r="R23" s="180" t="str">
        <f t="shared" si="11"/>
        <v>Apprenticeship</v>
      </c>
      <c r="S23" s="180" t="str">
        <f t="shared" si="11"/>
        <v>Traineeship</v>
      </c>
      <c r="T23" s="180" t="str">
        <f t="shared" si="11"/>
        <v>Unemployment</v>
      </c>
      <c r="U23" s="180" t="str">
        <f t="shared" si="11"/>
        <v>Inactivity</v>
      </c>
      <c r="V23" s="180" t="str">
        <f t="shared" si="11"/>
        <v>Not applicable</v>
      </c>
      <c r="W23" s="182" t="str">
        <f t="shared" si="11"/>
        <v>Unknown</v>
      </c>
      <c r="Y23" s="183" t="s">
        <v>4</v>
      </c>
      <c r="Z23" s="179"/>
      <c r="AA23" s="172" t="str">
        <f>AA$18</f>
        <v>Total</v>
      </c>
      <c r="AB23" s="180" t="str">
        <f>AB$18</f>
        <v>Employment</v>
      </c>
      <c r="AC23" s="180" t="str">
        <f t="shared" ref="AC23:AI23" si="12">AC$18</f>
        <v>Education</v>
      </c>
      <c r="AD23" s="180" t="str">
        <f t="shared" si="12"/>
        <v>Apprenticeship</v>
      </c>
      <c r="AE23" s="180" t="str">
        <f t="shared" si="12"/>
        <v>Traineeship</v>
      </c>
      <c r="AF23" s="180" t="str">
        <f t="shared" si="12"/>
        <v>Unemployment</v>
      </c>
      <c r="AG23" s="181" t="str">
        <f t="shared" si="12"/>
        <v>Inactivity</v>
      </c>
      <c r="AH23" s="181" t="str">
        <f t="shared" si="12"/>
        <v>Not applicable</v>
      </c>
      <c r="AI23" s="182" t="str">
        <f t="shared" si="12"/>
        <v>Unknown</v>
      </c>
      <c r="AK23" s="183" t="s">
        <v>4</v>
      </c>
      <c r="AL23" s="179"/>
      <c r="AM23" s="172" t="str">
        <f>AM$18</f>
        <v>Total</v>
      </c>
      <c r="AN23" s="180" t="str">
        <f>AN$18</f>
        <v>Employment</v>
      </c>
      <c r="AO23" s="180" t="str">
        <f t="shared" ref="AO23:AU23" si="13">AO$18</f>
        <v>Education</v>
      </c>
      <c r="AP23" s="180" t="str">
        <f t="shared" si="13"/>
        <v>Apprenticeship</v>
      </c>
      <c r="AQ23" s="180" t="str">
        <f t="shared" si="13"/>
        <v>Traineeship</v>
      </c>
      <c r="AR23" s="180" t="str">
        <f t="shared" si="13"/>
        <v>Unemployment</v>
      </c>
      <c r="AS23" s="180" t="str">
        <f t="shared" si="13"/>
        <v>Inactivity</v>
      </c>
      <c r="AT23" s="180" t="str">
        <f t="shared" si="13"/>
        <v>Not applicable</v>
      </c>
      <c r="AU23" s="182" t="str">
        <f t="shared" si="13"/>
        <v>Unknown</v>
      </c>
      <c r="AW23" s="183" t="s">
        <v>4</v>
      </c>
      <c r="AX23" s="179"/>
      <c r="AY23" s="172" t="str">
        <f>AY$18</f>
        <v>Total</v>
      </c>
      <c r="AZ23" s="180" t="str">
        <f>AZ$18</f>
        <v>Employment</v>
      </c>
      <c r="BA23" s="180" t="str">
        <f t="shared" ref="BA23:BG23" si="14">BA$18</f>
        <v>Education</v>
      </c>
      <c r="BB23" s="180" t="str">
        <f t="shared" si="14"/>
        <v>Apprenticeship</v>
      </c>
      <c r="BC23" s="180" t="str">
        <f t="shared" si="14"/>
        <v>Traineeship</v>
      </c>
      <c r="BD23" s="180" t="str">
        <f t="shared" si="14"/>
        <v>Unemployment</v>
      </c>
      <c r="BE23" s="180" t="str">
        <f t="shared" si="14"/>
        <v>Inactivity</v>
      </c>
      <c r="BF23" s="180" t="str">
        <f t="shared" si="14"/>
        <v>Not applicable</v>
      </c>
      <c r="BG23" s="182" t="str">
        <f t="shared" si="14"/>
        <v>Unknown</v>
      </c>
      <c r="BI23" s="69"/>
      <c r="BK23" s="265"/>
    </row>
    <row r="24" spans="1:63" x14ac:dyDescent="0.2">
      <c r="A24" s="194"/>
      <c r="B24" s="195" t="s">
        <v>578</v>
      </c>
      <c r="C24" s="185"/>
      <c r="D24" s="126"/>
      <c r="E24" s="126"/>
      <c r="F24" s="126"/>
      <c r="G24" s="126"/>
      <c r="H24" s="126"/>
      <c r="I24" s="126"/>
      <c r="J24" s="127">
        <f t="shared" ref="J24" si="15">SUM(J25:J27)</f>
        <v>0</v>
      </c>
      <c r="K24" s="196">
        <f t="shared" ref="K24:K27" si="16">C24-SUM(D24:G24,H24:I24,J24)</f>
        <v>0</v>
      </c>
      <c r="M24" s="194"/>
      <c r="N24" s="195" t="s">
        <v>578</v>
      </c>
      <c r="O24" s="185"/>
      <c r="P24" s="126"/>
      <c r="Q24" s="126"/>
      <c r="R24" s="126"/>
      <c r="S24" s="126"/>
      <c r="T24" s="126"/>
      <c r="U24" s="126"/>
      <c r="V24" s="127">
        <f t="shared" ref="V24" si="17">SUM(V25:V27)</f>
        <v>0</v>
      </c>
      <c r="W24" s="196">
        <f t="shared" ref="W24:W27" si="18">O24-SUM(P24:S24,T24:U24,V24)</f>
        <v>0</v>
      </c>
      <c r="Y24" s="2"/>
      <c r="Z24" s="6" t="s">
        <v>578</v>
      </c>
      <c r="AA24" s="125"/>
      <c r="AB24" s="126"/>
      <c r="AC24" s="126"/>
      <c r="AD24" s="126"/>
      <c r="AE24" s="126"/>
      <c r="AF24" s="126"/>
      <c r="AG24" s="126"/>
      <c r="AH24" s="127">
        <f t="shared" ref="AH24" si="19">SUM(AH25:AH27)</f>
        <v>0</v>
      </c>
      <c r="AI24" s="123">
        <f t="shared" ref="AI24:AI27" si="20">AA24-SUM(AB24:AE24,AF24:AG24,AH24)</f>
        <v>0</v>
      </c>
      <c r="AK24" s="2"/>
      <c r="AL24" s="6" t="s">
        <v>578</v>
      </c>
      <c r="AM24" s="125"/>
      <c r="AN24" s="126"/>
      <c r="AO24" s="126"/>
      <c r="AP24" s="126"/>
      <c r="AQ24" s="126"/>
      <c r="AR24" s="126"/>
      <c r="AS24" s="126"/>
      <c r="AT24" s="127">
        <f t="shared" ref="AT24" si="21">SUM(AT25:AT27)</f>
        <v>0</v>
      </c>
      <c r="AU24" s="123">
        <f t="shared" ref="AU24:AU27" si="22">AM24-SUM(AN24:AQ24,AR24:AS24,AT24)</f>
        <v>0</v>
      </c>
      <c r="AW24" s="194"/>
      <c r="AX24" s="195" t="s">
        <v>578</v>
      </c>
      <c r="AY24" s="185"/>
      <c r="AZ24" s="126"/>
      <c r="BA24" s="126"/>
      <c r="BB24" s="126"/>
      <c r="BC24" s="126"/>
      <c r="BD24" s="126"/>
      <c r="BE24" s="126"/>
      <c r="BF24" s="127">
        <f t="shared" ref="BF24" si="23">SUM(BF25:BF27)</f>
        <v>0</v>
      </c>
      <c r="BG24" s="196">
        <f t="shared" ref="BG24:BG27" si="24">AY24-SUM(AZ24:BC24,BD24:BE24,BF24)</f>
        <v>0</v>
      </c>
      <c r="BI24" s="69" t="str">
        <f>IF(OR(K24&lt;0,W24&lt;0,AI24&lt;0,AU24&lt;0,BG24&lt;0),"!! Total must be &gt;= sum by situation",IF(OR(C24&lt;SUM(O24,AA24,AM24,AY24),D24&lt;SUM(P24,AB24,AN24,AZ24),E24&lt;SUM(Q24,AC24,AO24,BA24),F24&lt;SUM(R24,AD24,AP24,BB24),G24&lt;SUM(S24,AE24,AQ24,BC24),H24&lt;SUM(T24,AF24,AR24,BD24),I24&lt;SUM(U24,AG24,AS24,BE24),J24&lt;SUM(V24,AH24,AT24,BF24)),"!! Values in FU1 must be &gt;= sum of values in FU2 - FU5",""))</f>
        <v/>
      </c>
      <c r="BK24" s="265"/>
    </row>
    <row r="25" spans="1:63" x14ac:dyDescent="0.2">
      <c r="A25" s="194"/>
      <c r="B25" s="195" t="s">
        <v>6</v>
      </c>
      <c r="C25" s="185"/>
      <c r="D25" s="126"/>
      <c r="E25" s="127"/>
      <c r="F25" s="127"/>
      <c r="G25" s="127"/>
      <c r="H25" s="127"/>
      <c r="I25" s="127"/>
      <c r="J25" s="127">
        <v>0</v>
      </c>
      <c r="K25" s="196">
        <f t="shared" si="16"/>
        <v>0</v>
      </c>
      <c r="M25" s="194"/>
      <c r="N25" s="195" t="s">
        <v>6</v>
      </c>
      <c r="O25" s="185"/>
      <c r="P25" s="126"/>
      <c r="Q25" s="127"/>
      <c r="R25" s="127"/>
      <c r="S25" s="127"/>
      <c r="T25" s="127"/>
      <c r="U25" s="127"/>
      <c r="V25" s="127">
        <v>0</v>
      </c>
      <c r="W25" s="196">
        <f t="shared" si="18"/>
        <v>0</v>
      </c>
      <c r="Y25" s="2"/>
      <c r="Z25" s="6" t="s">
        <v>6</v>
      </c>
      <c r="AA25" s="125"/>
      <c r="AB25" s="126"/>
      <c r="AC25" s="127"/>
      <c r="AD25" s="127"/>
      <c r="AE25" s="127"/>
      <c r="AF25" s="127"/>
      <c r="AG25" s="127"/>
      <c r="AH25" s="127">
        <v>0</v>
      </c>
      <c r="AI25" s="123">
        <f t="shared" si="20"/>
        <v>0</v>
      </c>
      <c r="AK25" s="2"/>
      <c r="AL25" s="6" t="s">
        <v>6</v>
      </c>
      <c r="AM25" s="125"/>
      <c r="AN25" s="126"/>
      <c r="AO25" s="127"/>
      <c r="AP25" s="127"/>
      <c r="AQ25" s="127"/>
      <c r="AR25" s="127"/>
      <c r="AS25" s="127"/>
      <c r="AT25" s="127">
        <v>0</v>
      </c>
      <c r="AU25" s="123">
        <f t="shared" si="22"/>
        <v>0</v>
      </c>
      <c r="AW25" s="194"/>
      <c r="AX25" s="195" t="s">
        <v>6</v>
      </c>
      <c r="AY25" s="185"/>
      <c r="AZ25" s="126"/>
      <c r="BA25" s="127"/>
      <c r="BB25" s="127"/>
      <c r="BC25" s="127"/>
      <c r="BD25" s="127"/>
      <c r="BE25" s="127"/>
      <c r="BF25" s="127">
        <v>0</v>
      </c>
      <c r="BG25" s="196">
        <f t="shared" si="24"/>
        <v>0</v>
      </c>
      <c r="BI25" s="69" t="str">
        <f>IF(OR(K25&lt;0,W25&lt;0,AI25&lt;0,AU25&lt;0,BG25&lt;0),"!! Total must be &gt;= sum by situation",IF(OR(C25&lt;SUM(O25,AA25,AM25,AY25),D25&lt;SUM(P25,AB25,AN25,AZ25),E25&lt;SUM(Q25,AC25,AO25,BA25),F25&lt;SUM(R25,AD25,AP25,BB25),G25&lt;SUM(S25,AE25,AQ25,BC25),H25&lt;SUM(T25,AF25,AR25,BD25),I25&lt;SUM(U25,AG25,AS25,BE25),J25&lt;SUM(V25,AH25,AT25,BF25)),"!! Values in FU1 must be &gt;= sum of values in FU2 - FU5",""))</f>
        <v/>
      </c>
      <c r="BK25" s="265"/>
    </row>
    <row r="26" spans="1:63" x14ac:dyDescent="0.2">
      <c r="A26" s="194"/>
      <c r="B26" s="195" t="s">
        <v>7</v>
      </c>
      <c r="C26" s="185"/>
      <c r="D26" s="126"/>
      <c r="E26" s="126"/>
      <c r="F26" s="126"/>
      <c r="G26" s="126"/>
      <c r="H26" s="126"/>
      <c r="I26" s="126"/>
      <c r="J26" s="127">
        <v>0</v>
      </c>
      <c r="K26" s="196">
        <f t="shared" si="16"/>
        <v>0</v>
      </c>
      <c r="M26" s="194"/>
      <c r="N26" s="195" t="s">
        <v>7</v>
      </c>
      <c r="O26" s="185"/>
      <c r="P26" s="126"/>
      <c r="Q26" s="126"/>
      <c r="R26" s="126"/>
      <c r="S26" s="126"/>
      <c r="T26" s="126"/>
      <c r="U26" s="126"/>
      <c r="V26" s="127">
        <v>0</v>
      </c>
      <c r="W26" s="196">
        <f t="shared" si="18"/>
        <v>0</v>
      </c>
      <c r="Y26" s="2"/>
      <c r="Z26" s="6" t="s">
        <v>7</v>
      </c>
      <c r="AA26" s="125"/>
      <c r="AB26" s="126"/>
      <c r="AC26" s="126"/>
      <c r="AD26" s="126"/>
      <c r="AE26" s="126"/>
      <c r="AF26" s="126"/>
      <c r="AG26" s="126"/>
      <c r="AH26" s="127">
        <v>0</v>
      </c>
      <c r="AI26" s="123">
        <f t="shared" si="20"/>
        <v>0</v>
      </c>
      <c r="AK26" s="2"/>
      <c r="AL26" s="6" t="s">
        <v>7</v>
      </c>
      <c r="AM26" s="125"/>
      <c r="AN26" s="126"/>
      <c r="AO26" s="126"/>
      <c r="AP26" s="126"/>
      <c r="AQ26" s="126"/>
      <c r="AR26" s="126"/>
      <c r="AS26" s="126"/>
      <c r="AT26" s="127">
        <v>0</v>
      </c>
      <c r="AU26" s="123">
        <f t="shared" si="22"/>
        <v>0</v>
      </c>
      <c r="AW26" s="194"/>
      <c r="AX26" s="195" t="s">
        <v>7</v>
      </c>
      <c r="AY26" s="185"/>
      <c r="AZ26" s="126"/>
      <c r="BA26" s="126"/>
      <c r="BB26" s="126"/>
      <c r="BC26" s="126"/>
      <c r="BD26" s="126"/>
      <c r="BE26" s="126"/>
      <c r="BF26" s="127">
        <v>0</v>
      </c>
      <c r="BG26" s="196">
        <f t="shared" si="24"/>
        <v>0</v>
      </c>
      <c r="BI26" s="69" t="str">
        <f t="shared" ref="BI26:BI27" si="25">IF(OR(K26&lt;0,W26&lt;0,AI26&lt;0,AU26&lt;0,BG26&lt;0),"!! Total must be &gt;= sum by situation",IF(OR(C26&lt;SUM(O26,AA26,AM26,AY26),D26&lt;SUM(P26,AB26,AN26,AZ26),E26&lt;SUM(Q26,AC26,AO26,BA26),F26&lt;SUM(R26,AD26,AP26,BB26),G26&lt;SUM(S26,AE26,AQ26,BC26),H26&lt;SUM(T26,AF26,AR26,BD26),I26&lt;SUM(U26,AG26,AS26,BE26),J26&lt;SUM(V26,AH26,AT26,BF26)),"!! Values in FU1 must be &gt;= sum of values in FU2 - FU5",""))</f>
        <v/>
      </c>
      <c r="BK26" s="265"/>
    </row>
    <row r="27" spans="1:63" x14ac:dyDescent="0.2">
      <c r="A27" s="194"/>
      <c r="B27" s="195" t="s">
        <v>577</v>
      </c>
      <c r="C27" s="185"/>
      <c r="D27" s="126"/>
      <c r="E27" s="127"/>
      <c r="F27" s="127"/>
      <c r="G27" s="127"/>
      <c r="H27" s="127"/>
      <c r="I27" s="127"/>
      <c r="J27" s="127">
        <v>0</v>
      </c>
      <c r="K27" s="196">
        <f t="shared" si="16"/>
        <v>0</v>
      </c>
      <c r="M27" s="194"/>
      <c r="N27" s="195" t="s">
        <v>577</v>
      </c>
      <c r="O27" s="185"/>
      <c r="P27" s="126"/>
      <c r="Q27" s="127"/>
      <c r="R27" s="127"/>
      <c r="S27" s="127"/>
      <c r="T27" s="127"/>
      <c r="U27" s="127"/>
      <c r="V27" s="127">
        <v>0</v>
      </c>
      <c r="W27" s="196">
        <f t="shared" si="18"/>
        <v>0</v>
      </c>
      <c r="Y27" s="2"/>
      <c r="Z27" s="6" t="s">
        <v>577</v>
      </c>
      <c r="AA27" s="125"/>
      <c r="AB27" s="126"/>
      <c r="AC27" s="127"/>
      <c r="AD27" s="127"/>
      <c r="AE27" s="127"/>
      <c r="AF27" s="127"/>
      <c r="AG27" s="127"/>
      <c r="AH27" s="127">
        <v>0</v>
      </c>
      <c r="AI27" s="123">
        <f t="shared" si="20"/>
        <v>0</v>
      </c>
      <c r="AK27" s="2"/>
      <c r="AL27" s="6" t="s">
        <v>577</v>
      </c>
      <c r="AM27" s="125"/>
      <c r="AN27" s="126"/>
      <c r="AO27" s="127"/>
      <c r="AP27" s="127"/>
      <c r="AQ27" s="127"/>
      <c r="AR27" s="127"/>
      <c r="AS27" s="127"/>
      <c r="AT27" s="127">
        <v>0</v>
      </c>
      <c r="AU27" s="123">
        <f t="shared" si="22"/>
        <v>0</v>
      </c>
      <c r="AW27" s="194"/>
      <c r="AX27" s="195" t="s">
        <v>577</v>
      </c>
      <c r="AY27" s="185"/>
      <c r="AZ27" s="126"/>
      <c r="BA27" s="127"/>
      <c r="BB27" s="127"/>
      <c r="BC27" s="127"/>
      <c r="BD27" s="127"/>
      <c r="BE27" s="127"/>
      <c r="BF27" s="127">
        <v>0</v>
      </c>
      <c r="BG27" s="196">
        <f t="shared" si="24"/>
        <v>0</v>
      </c>
      <c r="BI27" s="69" t="str">
        <f t="shared" si="25"/>
        <v/>
      </c>
      <c r="BK27" s="265"/>
    </row>
    <row r="28" spans="1:63" x14ac:dyDescent="0.2">
      <c r="A28" s="183" t="s">
        <v>5</v>
      </c>
      <c r="B28" s="179"/>
      <c r="C28" s="172" t="str">
        <f>C$18</f>
        <v>Total</v>
      </c>
      <c r="D28" s="180" t="str">
        <f>D$18</f>
        <v>Employment</v>
      </c>
      <c r="E28" s="180" t="str">
        <f t="shared" ref="E28:K28" si="26">E$18</f>
        <v>Education</v>
      </c>
      <c r="F28" s="180" t="str">
        <f t="shared" si="26"/>
        <v>Apprenticeship</v>
      </c>
      <c r="G28" s="180" t="str">
        <f t="shared" si="26"/>
        <v>Traineeship</v>
      </c>
      <c r="H28" s="180" t="str">
        <f t="shared" si="26"/>
        <v>Unemployment</v>
      </c>
      <c r="I28" s="180" t="str">
        <f t="shared" si="26"/>
        <v>Inactivity</v>
      </c>
      <c r="J28" s="180" t="str">
        <f t="shared" si="26"/>
        <v>Not applicable</v>
      </c>
      <c r="K28" s="182" t="str">
        <f t="shared" si="26"/>
        <v>Unknown</v>
      </c>
      <c r="M28" s="183" t="s">
        <v>5</v>
      </c>
      <c r="N28" s="179"/>
      <c r="O28" s="172" t="str">
        <f>O$18</f>
        <v>Total</v>
      </c>
      <c r="P28" s="180" t="str">
        <f>P$18</f>
        <v>Employment</v>
      </c>
      <c r="Q28" s="180" t="str">
        <f t="shared" ref="Q28:W28" si="27">Q$18</f>
        <v>Education</v>
      </c>
      <c r="R28" s="180" t="str">
        <f t="shared" si="27"/>
        <v>Apprenticeship</v>
      </c>
      <c r="S28" s="180" t="str">
        <f t="shared" si="27"/>
        <v>Traineeship</v>
      </c>
      <c r="T28" s="180" t="str">
        <f t="shared" si="27"/>
        <v>Unemployment</v>
      </c>
      <c r="U28" s="180" t="str">
        <f t="shared" si="27"/>
        <v>Inactivity</v>
      </c>
      <c r="V28" s="180" t="str">
        <f t="shared" si="27"/>
        <v>Not applicable</v>
      </c>
      <c r="W28" s="182" t="str">
        <f t="shared" si="27"/>
        <v>Unknown</v>
      </c>
      <c r="Y28" s="183" t="s">
        <v>5</v>
      </c>
      <c r="Z28" s="179"/>
      <c r="AA28" s="172" t="str">
        <f>AA$18</f>
        <v>Total</v>
      </c>
      <c r="AB28" s="180" t="str">
        <f>AB$18</f>
        <v>Employment</v>
      </c>
      <c r="AC28" s="180" t="str">
        <f t="shared" ref="AC28:AI28" si="28">AC$18</f>
        <v>Education</v>
      </c>
      <c r="AD28" s="180" t="str">
        <f t="shared" si="28"/>
        <v>Apprenticeship</v>
      </c>
      <c r="AE28" s="180" t="str">
        <f t="shared" si="28"/>
        <v>Traineeship</v>
      </c>
      <c r="AF28" s="180" t="str">
        <f t="shared" si="28"/>
        <v>Unemployment</v>
      </c>
      <c r="AG28" s="181" t="str">
        <f t="shared" si="28"/>
        <v>Inactivity</v>
      </c>
      <c r="AH28" s="181" t="str">
        <f t="shared" si="28"/>
        <v>Not applicable</v>
      </c>
      <c r="AI28" s="182" t="str">
        <f t="shared" si="28"/>
        <v>Unknown</v>
      </c>
      <c r="AK28" s="183" t="s">
        <v>5</v>
      </c>
      <c r="AL28" s="179"/>
      <c r="AM28" s="172" t="str">
        <f>AM$18</f>
        <v>Total</v>
      </c>
      <c r="AN28" s="180" t="str">
        <f>AN$18</f>
        <v>Employment</v>
      </c>
      <c r="AO28" s="180" t="str">
        <f t="shared" ref="AO28:AU28" si="29">AO$18</f>
        <v>Education</v>
      </c>
      <c r="AP28" s="180" t="str">
        <f t="shared" si="29"/>
        <v>Apprenticeship</v>
      </c>
      <c r="AQ28" s="180" t="str">
        <f t="shared" si="29"/>
        <v>Traineeship</v>
      </c>
      <c r="AR28" s="180" t="str">
        <f t="shared" si="29"/>
        <v>Unemployment</v>
      </c>
      <c r="AS28" s="180" t="str">
        <f t="shared" si="29"/>
        <v>Inactivity</v>
      </c>
      <c r="AT28" s="180" t="str">
        <f t="shared" si="29"/>
        <v>Not applicable</v>
      </c>
      <c r="AU28" s="182" t="str">
        <f t="shared" si="29"/>
        <v>Unknown</v>
      </c>
      <c r="AW28" s="183" t="s">
        <v>5</v>
      </c>
      <c r="AX28" s="179"/>
      <c r="AY28" s="172" t="str">
        <f>AY$18</f>
        <v>Total</v>
      </c>
      <c r="AZ28" s="180" t="str">
        <f>AZ$18</f>
        <v>Employment</v>
      </c>
      <c r="BA28" s="180" t="str">
        <f t="shared" ref="BA28:BG28" si="30">BA$18</f>
        <v>Education</v>
      </c>
      <c r="BB28" s="180" t="str">
        <f t="shared" si="30"/>
        <v>Apprenticeship</v>
      </c>
      <c r="BC28" s="180" t="str">
        <f t="shared" si="30"/>
        <v>Traineeship</v>
      </c>
      <c r="BD28" s="180" t="str">
        <f t="shared" si="30"/>
        <v>Unemployment</v>
      </c>
      <c r="BE28" s="180" t="str">
        <f t="shared" si="30"/>
        <v>Inactivity</v>
      </c>
      <c r="BF28" s="180" t="str">
        <f t="shared" si="30"/>
        <v>Not applicable</v>
      </c>
      <c r="BG28" s="182" t="str">
        <f t="shared" si="30"/>
        <v>Unknown</v>
      </c>
      <c r="BI28" s="69"/>
      <c r="BK28" s="265"/>
    </row>
    <row r="29" spans="1:63" x14ac:dyDescent="0.2">
      <c r="A29" s="194"/>
      <c r="B29" s="195" t="s">
        <v>578</v>
      </c>
      <c r="C29" s="185"/>
      <c r="D29" s="126"/>
      <c r="E29" s="126"/>
      <c r="F29" s="126"/>
      <c r="G29" s="126"/>
      <c r="H29" s="126"/>
      <c r="I29" s="126"/>
      <c r="J29" s="127">
        <f t="shared" ref="J29" si="31">SUM(J30:J32)</f>
        <v>0</v>
      </c>
      <c r="K29" s="196">
        <f t="shared" ref="K29:K31" si="32">C29-SUM(D29:G29,H29:I29,J29)</f>
        <v>0</v>
      </c>
      <c r="M29" s="194"/>
      <c r="N29" s="195" t="s">
        <v>578</v>
      </c>
      <c r="O29" s="185"/>
      <c r="P29" s="126"/>
      <c r="Q29" s="126"/>
      <c r="R29" s="126"/>
      <c r="S29" s="126"/>
      <c r="T29" s="126"/>
      <c r="U29" s="126"/>
      <c r="V29" s="127">
        <f t="shared" ref="V29" si="33">SUM(V30:V32)</f>
        <v>0</v>
      </c>
      <c r="W29" s="196">
        <f t="shared" ref="W29:W31" si="34">O29-SUM(P29:S29,T29:U29,V29)</f>
        <v>0</v>
      </c>
      <c r="Y29" s="2"/>
      <c r="Z29" s="6" t="s">
        <v>578</v>
      </c>
      <c r="AA29" s="125"/>
      <c r="AB29" s="126"/>
      <c r="AC29" s="126"/>
      <c r="AD29" s="126"/>
      <c r="AE29" s="126"/>
      <c r="AF29" s="126"/>
      <c r="AG29" s="126"/>
      <c r="AH29" s="127">
        <f t="shared" ref="AH29" si="35">SUM(AH30:AH32)</f>
        <v>0</v>
      </c>
      <c r="AI29" s="123">
        <f t="shared" ref="AI29:AI31" si="36">AA29-SUM(AB29:AE29,AF29:AG29,AH29)</f>
        <v>0</v>
      </c>
      <c r="AK29" s="2"/>
      <c r="AL29" s="6" t="s">
        <v>578</v>
      </c>
      <c r="AM29" s="125"/>
      <c r="AN29" s="126"/>
      <c r="AO29" s="126"/>
      <c r="AP29" s="126"/>
      <c r="AQ29" s="126"/>
      <c r="AR29" s="126"/>
      <c r="AS29" s="126"/>
      <c r="AT29" s="127">
        <f t="shared" ref="AT29" si="37">SUM(AT30:AT32)</f>
        <v>0</v>
      </c>
      <c r="AU29" s="123">
        <f t="shared" ref="AU29:AU31" si="38">AM29-SUM(AN29:AQ29,AR29:AS29,AT29)</f>
        <v>0</v>
      </c>
      <c r="AW29" s="194"/>
      <c r="AX29" s="195" t="s">
        <v>578</v>
      </c>
      <c r="AY29" s="185"/>
      <c r="AZ29" s="126"/>
      <c r="BA29" s="126"/>
      <c r="BB29" s="126"/>
      <c r="BC29" s="126"/>
      <c r="BD29" s="126"/>
      <c r="BE29" s="126"/>
      <c r="BF29" s="127">
        <f t="shared" ref="BF29" si="39">SUM(BF30:BF32)</f>
        <v>0</v>
      </c>
      <c r="BG29" s="196">
        <f t="shared" ref="BG29:BG31" si="40">AY29-SUM(AZ29:BC29,BD29:BE29,BF29)</f>
        <v>0</v>
      </c>
      <c r="BI29" s="69" t="str">
        <f>IF(OR(K29&lt;0,W29&lt;0,AI29&lt;0,AU29&lt;0,BG29&lt;0),"!! Total must be &gt;= sum by situation",IF(OR(C29&lt;SUM(O29,AA29,AM29,AY29),D29&lt;SUM(P29,AB29,AN29,AZ29),E29&lt;SUM(Q29,AC29,AO29,BA29),F29&lt;SUM(R29,AD29,AP29,BB29),G29&lt;SUM(S29,AE29,AQ29,BC29),H29&lt;SUM(T29,AF29,AR29,BD29),I29&lt;SUM(U29,AG29,AS29,BE29),J29&lt;SUM(V29,AH29,AT29,BF29)),"!! Values in FU1 must be &gt;= sum of values in FU2 - FU5",""))</f>
        <v/>
      </c>
      <c r="BK29" s="265"/>
    </row>
    <row r="30" spans="1:63" x14ac:dyDescent="0.2">
      <c r="A30" s="194"/>
      <c r="B30" s="195" t="s">
        <v>6</v>
      </c>
      <c r="C30" s="185"/>
      <c r="D30" s="126"/>
      <c r="E30" s="127"/>
      <c r="F30" s="127"/>
      <c r="G30" s="127"/>
      <c r="H30" s="127"/>
      <c r="I30" s="127"/>
      <c r="J30" s="127">
        <v>0</v>
      </c>
      <c r="K30" s="196">
        <f t="shared" si="32"/>
        <v>0</v>
      </c>
      <c r="M30" s="194"/>
      <c r="N30" s="195" t="s">
        <v>6</v>
      </c>
      <c r="O30" s="185"/>
      <c r="P30" s="126"/>
      <c r="Q30" s="127"/>
      <c r="R30" s="127"/>
      <c r="S30" s="127"/>
      <c r="T30" s="127"/>
      <c r="U30" s="127"/>
      <c r="V30" s="127">
        <v>0</v>
      </c>
      <c r="W30" s="196">
        <f t="shared" si="34"/>
        <v>0</v>
      </c>
      <c r="Y30" s="2"/>
      <c r="Z30" s="6" t="s">
        <v>6</v>
      </c>
      <c r="AA30" s="125"/>
      <c r="AB30" s="126"/>
      <c r="AC30" s="127"/>
      <c r="AD30" s="127"/>
      <c r="AE30" s="127"/>
      <c r="AF30" s="127"/>
      <c r="AG30" s="127"/>
      <c r="AH30" s="127">
        <v>0</v>
      </c>
      <c r="AI30" s="123">
        <f t="shared" si="36"/>
        <v>0</v>
      </c>
      <c r="AK30" s="2"/>
      <c r="AL30" s="6" t="s">
        <v>6</v>
      </c>
      <c r="AM30" s="125"/>
      <c r="AN30" s="126"/>
      <c r="AO30" s="127"/>
      <c r="AP30" s="127"/>
      <c r="AQ30" s="127"/>
      <c r="AR30" s="127"/>
      <c r="AS30" s="127"/>
      <c r="AT30" s="127">
        <v>0</v>
      </c>
      <c r="AU30" s="123">
        <f t="shared" si="38"/>
        <v>0</v>
      </c>
      <c r="AW30" s="194"/>
      <c r="AX30" s="195" t="s">
        <v>6</v>
      </c>
      <c r="AY30" s="185"/>
      <c r="AZ30" s="126"/>
      <c r="BA30" s="127"/>
      <c r="BB30" s="127"/>
      <c r="BC30" s="127"/>
      <c r="BD30" s="127"/>
      <c r="BE30" s="127"/>
      <c r="BF30" s="127">
        <v>0</v>
      </c>
      <c r="BG30" s="196">
        <f t="shared" si="40"/>
        <v>0</v>
      </c>
      <c r="BI30" s="69" t="str">
        <f>IF(OR(K30&lt;0,W30&lt;0,AI30&lt;0,AU30&lt;0,BG30&lt;0),"!! Total must be &gt;= sum by situation",IF(OR(C30&lt;SUM(O30,AA30,AM30,AY30),D30&lt;SUM(P30,AB30,AN30,AZ30),E30&lt;SUM(Q30,AC30,AO30,BA30),F30&lt;SUM(R30,AD30,AP30,BB30),G30&lt;SUM(S30,AE30,AQ30,BC30),H30&lt;SUM(T30,AF30,AR30,BD30),I30&lt;SUM(U30,AG30,AS30,BE30),J30&lt;SUM(V30,AH30,AT30,BF30)),"!! Values in FU1 must be &gt;= sum of values in FU2 - FU5",""))</f>
        <v/>
      </c>
      <c r="BK30" s="265"/>
    </row>
    <row r="31" spans="1:63" x14ac:dyDescent="0.2">
      <c r="A31" s="194"/>
      <c r="B31" s="195" t="s">
        <v>7</v>
      </c>
      <c r="C31" s="185"/>
      <c r="D31" s="126"/>
      <c r="E31" s="126"/>
      <c r="F31" s="126"/>
      <c r="G31" s="126"/>
      <c r="H31" s="126"/>
      <c r="I31" s="126"/>
      <c r="J31" s="127">
        <v>0</v>
      </c>
      <c r="K31" s="196">
        <f t="shared" si="32"/>
        <v>0</v>
      </c>
      <c r="M31" s="194"/>
      <c r="N31" s="195" t="s">
        <v>7</v>
      </c>
      <c r="O31" s="185"/>
      <c r="P31" s="126"/>
      <c r="Q31" s="126"/>
      <c r="R31" s="126"/>
      <c r="S31" s="126"/>
      <c r="T31" s="126"/>
      <c r="U31" s="126"/>
      <c r="V31" s="127">
        <v>0</v>
      </c>
      <c r="W31" s="196">
        <f t="shared" si="34"/>
        <v>0</v>
      </c>
      <c r="Y31" s="2"/>
      <c r="Z31" s="6" t="s">
        <v>7</v>
      </c>
      <c r="AA31" s="125"/>
      <c r="AB31" s="126"/>
      <c r="AC31" s="126"/>
      <c r="AD31" s="126"/>
      <c r="AE31" s="126"/>
      <c r="AF31" s="126"/>
      <c r="AG31" s="126"/>
      <c r="AH31" s="127">
        <v>0</v>
      </c>
      <c r="AI31" s="123">
        <f t="shared" si="36"/>
        <v>0</v>
      </c>
      <c r="AK31" s="2"/>
      <c r="AL31" s="6" t="s">
        <v>7</v>
      </c>
      <c r="AM31" s="125"/>
      <c r="AN31" s="126"/>
      <c r="AO31" s="126"/>
      <c r="AP31" s="126"/>
      <c r="AQ31" s="126"/>
      <c r="AR31" s="126"/>
      <c r="AS31" s="126"/>
      <c r="AT31" s="127">
        <v>0</v>
      </c>
      <c r="AU31" s="123">
        <f t="shared" si="38"/>
        <v>0</v>
      </c>
      <c r="AW31" s="194"/>
      <c r="AX31" s="195" t="s">
        <v>7</v>
      </c>
      <c r="AY31" s="185"/>
      <c r="AZ31" s="126"/>
      <c r="BA31" s="126"/>
      <c r="BB31" s="126"/>
      <c r="BC31" s="126"/>
      <c r="BD31" s="126"/>
      <c r="BE31" s="126"/>
      <c r="BF31" s="127">
        <v>0</v>
      </c>
      <c r="BG31" s="196">
        <f t="shared" si="40"/>
        <v>0</v>
      </c>
      <c r="BI31" s="69" t="str">
        <f t="shared" ref="BI31:BI32" si="41">IF(OR(K31&lt;0,W31&lt;0,AI31&lt;0,AU31&lt;0,BG31&lt;0),"!! Total must be &gt;= sum by situation",IF(OR(C31&lt;SUM(O31,AA31,AM31,AY31),D31&lt;SUM(P31,AB31,AN31,AZ31),E31&lt;SUM(Q31,AC31,AO31,BA31),F31&lt;SUM(R31,AD31,AP31,BB31),G31&lt;SUM(S31,AE31,AQ31,BC31),H31&lt;SUM(T31,AF31,AR31,BD31),I31&lt;SUM(U31,AG31,AS31,BE31),J31&lt;SUM(V31,AH31,AT31,BF31)),"!! Values in FU1 must be &gt;= sum of values in FU2 - FU5",""))</f>
        <v/>
      </c>
      <c r="BK31" s="265"/>
    </row>
    <row r="32" spans="1:63" ht="16" thickBot="1" x14ac:dyDescent="0.25">
      <c r="A32" s="194"/>
      <c r="B32" s="195" t="s">
        <v>577</v>
      </c>
      <c r="C32" s="185"/>
      <c r="D32" s="126"/>
      <c r="E32" s="127"/>
      <c r="F32" s="127"/>
      <c r="G32" s="127"/>
      <c r="H32" s="127"/>
      <c r="I32" s="127"/>
      <c r="J32" s="127">
        <v>0</v>
      </c>
      <c r="K32" s="196">
        <f>C32-SUM(D32:G32,H32:I32,J32)</f>
        <v>0</v>
      </c>
      <c r="M32" s="194"/>
      <c r="N32" s="195" t="s">
        <v>577</v>
      </c>
      <c r="O32" s="185"/>
      <c r="P32" s="126"/>
      <c r="Q32" s="127"/>
      <c r="R32" s="127"/>
      <c r="S32" s="127"/>
      <c r="T32" s="127"/>
      <c r="U32" s="127"/>
      <c r="V32" s="127">
        <v>0</v>
      </c>
      <c r="W32" s="196">
        <f>O32-SUM(P32:S32,T32:U32,V32)</f>
        <v>0</v>
      </c>
      <c r="Y32" s="2"/>
      <c r="Z32" s="6" t="s">
        <v>577</v>
      </c>
      <c r="AA32" s="125"/>
      <c r="AB32" s="126"/>
      <c r="AC32" s="127"/>
      <c r="AD32" s="127"/>
      <c r="AE32" s="127"/>
      <c r="AF32" s="127"/>
      <c r="AG32" s="127"/>
      <c r="AH32" s="127">
        <v>0</v>
      </c>
      <c r="AI32" s="123">
        <f>AA32-SUM(AB32:AE32,AF32:AG32,AH32)</f>
        <v>0</v>
      </c>
      <c r="AK32" s="2"/>
      <c r="AL32" s="6" t="s">
        <v>577</v>
      </c>
      <c r="AM32" s="125"/>
      <c r="AN32" s="126"/>
      <c r="AO32" s="127"/>
      <c r="AP32" s="127"/>
      <c r="AQ32" s="127"/>
      <c r="AR32" s="127"/>
      <c r="AS32" s="127"/>
      <c r="AT32" s="127">
        <v>0</v>
      </c>
      <c r="AU32" s="123">
        <f>AM32-SUM(AN32:AQ32,AR32:AS32,AT32)</f>
        <v>0</v>
      </c>
      <c r="AW32" s="194"/>
      <c r="AX32" s="195" t="s">
        <v>577</v>
      </c>
      <c r="AY32" s="185"/>
      <c r="AZ32" s="126"/>
      <c r="BA32" s="127"/>
      <c r="BB32" s="127"/>
      <c r="BC32" s="127"/>
      <c r="BD32" s="127"/>
      <c r="BE32" s="127"/>
      <c r="BF32" s="127">
        <v>0</v>
      </c>
      <c r="BG32" s="196">
        <f>AY32-SUM(AZ32:BC32,BD32:BE32,BF32)</f>
        <v>0</v>
      </c>
      <c r="BI32" s="69" t="str">
        <f t="shared" si="41"/>
        <v/>
      </c>
      <c r="BK32" s="265"/>
    </row>
    <row r="33" spans="1:63" ht="16" thickTop="1" x14ac:dyDescent="0.2">
      <c r="A33" s="197" t="s">
        <v>158</v>
      </c>
      <c r="B33" s="198"/>
      <c r="C33" s="155"/>
      <c r="D33" s="156"/>
      <c r="E33" s="157"/>
      <c r="F33" s="157"/>
      <c r="G33" s="157"/>
      <c r="H33" s="157"/>
      <c r="I33" s="157"/>
      <c r="J33" s="157"/>
      <c r="K33" s="199"/>
      <c r="M33" s="197" t="s">
        <v>158</v>
      </c>
      <c r="N33" s="198"/>
      <c r="O33" s="155"/>
      <c r="P33" s="156"/>
      <c r="Q33" s="157"/>
      <c r="R33" s="157"/>
      <c r="S33" s="157"/>
      <c r="T33" s="157"/>
      <c r="U33" s="157"/>
      <c r="V33" s="157"/>
      <c r="W33" s="199"/>
      <c r="Y33" s="116" t="s">
        <v>158</v>
      </c>
      <c r="Z33" s="117"/>
      <c r="AA33" s="155"/>
      <c r="AB33" s="156"/>
      <c r="AC33" s="157"/>
      <c r="AD33" s="157"/>
      <c r="AE33" s="157"/>
      <c r="AF33" s="157"/>
      <c r="AG33" s="157"/>
      <c r="AH33" s="157"/>
      <c r="AI33" s="118"/>
      <c r="AK33" s="116" t="s">
        <v>158</v>
      </c>
      <c r="AL33" s="117"/>
      <c r="AM33" s="155"/>
      <c r="AN33" s="156"/>
      <c r="AO33" s="157"/>
      <c r="AP33" s="157"/>
      <c r="AQ33" s="157"/>
      <c r="AR33" s="157"/>
      <c r="AS33" s="157"/>
      <c r="AT33" s="157"/>
      <c r="AU33" s="118"/>
      <c r="AW33" s="197" t="s">
        <v>158</v>
      </c>
      <c r="AX33" s="198"/>
      <c r="AY33" s="155"/>
      <c r="AZ33" s="156"/>
      <c r="BA33" s="157"/>
      <c r="BB33" s="157"/>
      <c r="BC33" s="157"/>
      <c r="BD33" s="157"/>
      <c r="BE33" s="157"/>
      <c r="BF33" s="157"/>
      <c r="BG33" s="199"/>
      <c r="BI33" s="69"/>
      <c r="BK33" s="265"/>
    </row>
    <row r="34" spans="1:63" ht="15" hidden="1" customHeight="1" x14ac:dyDescent="0.2">
      <c r="A34" s="200" t="str">
        <f>A33</f>
        <v>12 months after exit</v>
      </c>
      <c r="B34" s="201"/>
      <c r="C34" s="158"/>
      <c r="D34" s="158"/>
      <c r="E34" s="158"/>
      <c r="F34" s="158"/>
      <c r="G34" s="158"/>
      <c r="H34" s="158"/>
      <c r="I34" s="158"/>
      <c r="J34" s="159"/>
      <c r="K34" s="202" t="e">
        <f>#REF!</f>
        <v>#REF!</v>
      </c>
      <c r="M34" s="200" t="str">
        <f>M33</f>
        <v>12 months after exit</v>
      </c>
      <c r="N34" s="201"/>
      <c r="O34" s="158"/>
      <c r="P34" s="158"/>
      <c r="Q34" s="158"/>
      <c r="R34" s="158"/>
      <c r="S34" s="158"/>
      <c r="T34" s="158"/>
      <c r="U34" s="158"/>
      <c r="V34" s="159"/>
      <c r="W34" s="202" t="e">
        <f>#REF!</f>
        <v>#REF!</v>
      </c>
      <c r="Y34" s="14" t="str">
        <f>Y33</f>
        <v>12 months after exit</v>
      </c>
      <c r="Z34" s="15"/>
      <c r="AA34" s="158"/>
      <c r="AB34" s="158"/>
      <c r="AC34" s="158"/>
      <c r="AD34" s="158"/>
      <c r="AE34" s="158"/>
      <c r="AF34" s="158"/>
      <c r="AG34" s="158"/>
      <c r="AH34" s="159"/>
      <c r="AI34" s="34" t="e">
        <f>#REF!</f>
        <v>#REF!</v>
      </c>
      <c r="AK34" s="14" t="str">
        <f>AK33</f>
        <v>12 months after exit</v>
      </c>
      <c r="AL34" s="15"/>
      <c r="AM34" s="158"/>
      <c r="AN34" s="158"/>
      <c r="AO34" s="158"/>
      <c r="AP34" s="158"/>
      <c r="AQ34" s="158"/>
      <c r="AR34" s="158"/>
      <c r="AS34" s="158"/>
      <c r="AT34" s="159"/>
      <c r="AU34" s="34" t="e">
        <f>#REF!</f>
        <v>#REF!</v>
      </c>
      <c r="AW34" s="200" t="str">
        <f>AW33</f>
        <v>12 months after exit</v>
      </c>
      <c r="AX34" s="201"/>
      <c r="AY34" s="158"/>
      <c r="AZ34" s="158"/>
      <c r="BA34" s="158"/>
      <c r="BB34" s="158"/>
      <c r="BC34" s="158"/>
      <c r="BD34" s="158"/>
      <c r="BE34" s="158"/>
      <c r="BF34" s="159"/>
      <c r="BG34" s="202" t="e">
        <f>#REF!</f>
        <v>#REF!</v>
      </c>
      <c r="BI34" s="69"/>
      <c r="BK34" s="265"/>
    </row>
    <row r="35" spans="1:63" x14ac:dyDescent="0.2">
      <c r="A35" s="183" t="s">
        <v>97</v>
      </c>
      <c r="B35" s="179"/>
      <c r="C35" s="172" t="str">
        <f>C$18</f>
        <v>Total</v>
      </c>
      <c r="D35" s="180" t="str">
        <f>D$18</f>
        <v>Employment</v>
      </c>
      <c r="E35" s="180" t="str">
        <f t="shared" ref="E35:K35" si="42">E$18</f>
        <v>Education</v>
      </c>
      <c r="F35" s="180" t="str">
        <f t="shared" si="42"/>
        <v>Apprenticeship</v>
      </c>
      <c r="G35" s="180" t="str">
        <f t="shared" si="42"/>
        <v>Traineeship</v>
      </c>
      <c r="H35" s="180" t="str">
        <f t="shared" si="42"/>
        <v>Unemployment</v>
      </c>
      <c r="I35" s="180" t="str">
        <f t="shared" si="42"/>
        <v>Inactivity</v>
      </c>
      <c r="J35" s="180" t="str">
        <f t="shared" si="42"/>
        <v>Not applicable</v>
      </c>
      <c r="K35" s="182" t="str">
        <f t="shared" si="42"/>
        <v>Unknown</v>
      </c>
      <c r="M35" s="183" t="s">
        <v>97</v>
      </c>
      <c r="N35" s="179"/>
      <c r="O35" s="172" t="str">
        <f>O$18</f>
        <v>Total</v>
      </c>
      <c r="P35" s="180" t="str">
        <f>P$18</f>
        <v>Employment</v>
      </c>
      <c r="Q35" s="180" t="str">
        <f t="shared" ref="Q35:W35" si="43">Q$18</f>
        <v>Education</v>
      </c>
      <c r="R35" s="180" t="str">
        <f t="shared" si="43"/>
        <v>Apprenticeship</v>
      </c>
      <c r="S35" s="180" t="str">
        <f t="shared" si="43"/>
        <v>Traineeship</v>
      </c>
      <c r="T35" s="180" t="str">
        <f t="shared" si="43"/>
        <v>Unemployment</v>
      </c>
      <c r="U35" s="180" t="str">
        <f t="shared" si="43"/>
        <v>Inactivity</v>
      </c>
      <c r="V35" s="180" t="str">
        <f t="shared" si="43"/>
        <v>Not applicable</v>
      </c>
      <c r="W35" s="182" t="str">
        <f t="shared" si="43"/>
        <v>Unknown</v>
      </c>
      <c r="Y35" s="183" t="s">
        <v>97</v>
      </c>
      <c r="Z35" s="179"/>
      <c r="AA35" s="172" t="str">
        <f>AA$18</f>
        <v>Total</v>
      </c>
      <c r="AB35" s="180" t="str">
        <f>AB$18</f>
        <v>Employment</v>
      </c>
      <c r="AC35" s="180" t="str">
        <f t="shared" ref="AC35:AI35" si="44">AC$18</f>
        <v>Education</v>
      </c>
      <c r="AD35" s="180" t="str">
        <f t="shared" si="44"/>
        <v>Apprenticeship</v>
      </c>
      <c r="AE35" s="180" t="str">
        <f t="shared" si="44"/>
        <v>Traineeship</v>
      </c>
      <c r="AF35" s="180" t="str">
        <f t="shared" si="44"/>
        <v>Unemployment</v>
      </c>
      <c r="AG35" s="181" t="str">
        <f t="shared" si="44"/>
        <v>Inactivity</v>
      </c>
      <c r="AH35" s="181" t="str">
        <f t="shared" si="44"/>
        <v>Not applicable</v>
      </c>
      <c r="AI35" s="182" t="str">
        <f t="shared" si="44"/>
        <v>Unknown</v>
      </c>
      <c r="AK35" s="183" t="s">
        <v>97</v>
      </c>
      <c r="AL35" s="179"/>
      <c r="AM35" s="172" t="str">
        <f>AM$18</f>
        <v>Total</v>
      </c>
      <c r="AN35" s="180" t="str">
        <f>AN$18</f>
        <v>Employment</v>
      </c>
      <c r="AO35" s="180" t="str">
        <f t="shared" ref="AO35:AU35" si="45">AO$18</f>
        <v>Education</v>
      </c>
      <c r="AP35" s="180" t="str">
        <f t="shared" si="45"/>
        <v>Apprenticeship</v>
      </c>
      <c r="AQ35" s="180" t="str">
        <f t="shared" si="45"/>
        <v>Traineeship</v>
      </c>
      <c r="AR35" s="180" t="str">
        <f t="shared" si="45"/>
        <v>Unemployment</v>
      </c>
      <c r="AS35" s="181" t="str">
        <f t="shared" si="45"/>
        <v>Inactivity</v>
      </c>
      <c r="AT35" s="181" t="str">
        <f t="shared" si="45"/>
        <v>Not applicable</v>
      </c>
      <c r="AU35" s="182" t="str">
        <f t="shared" si="45"/>
        <v>Unknown</v>
      </c>
      <c r="AW35" s="183" t="s">
        <v>97</v>
      </c>
      <c r="AX35" s="179"/>
      <c r="AY35" s="172" t="str">
        <f>AY$18</f>
        <v>Total</v>
      </c>
      <c r="AZ35" s="180" t="str">
        <f>AZ$18</f>
        <v>Employment</v>
      </c>
      <c r="BA35" s="180" t="str">
        <f t="shared" ref="BA35:BG35" si="46">BA$18</f>
        <v>Education</v>
      </c>
      <c r="BB35" s="180" t="str">
        <f t="shared" si="46"/>
        <v>Apprenticeship</v>
      </c>
      <c r="BC35" s="180" t="str">
        <f t="shared" si="46"/>
        <v>Traineeship</v>
      </c>
      <c r="BD35" s="180" t="str">
        <f t="shared" si="46"/>
        <v>Unemployment</v>
      </c>
      <c r="BE35" s="180" t="str">
        <f t="shared" si="46"/>
        <v>Inactivity</v>
      </c>
      <c r="BF35" s="180" t="str">
        <f t="shared" si="46"/>
        <v>Not applicable</v>
      </c>
      <c r="BG35" s="182" t="str">
        <f t="shared" si="46"/>
        <v>Unknown</v>
      </c>
      <c r="BI35" s="69" t="str" cm="1">
        <f t="array" ref="BI35">IF(OR(SUM(IF(O36:W39&lt;(O41:W44+O46:W49),1,0)),SUM(IF(C36:K39&lt;(C41:K44+C46:K49),1,0)),SUM(IF(AA36:AI39&lt;(AA41:AI44+AA46:AI49),1,0)), SUM(IF(AM36:AU39&lt;(AM41:AU44+AM46:AU49),1,0)), SUM(IF(AY36:BG39&lt;(AY41:BG44+AY46:BG49),1,0))),"!! Check sum by sex for one or more columns/rows","")</f>
        <v/>
      </c>
      <c r="BK35" s="265"/>
    </row>
    <row r="36" spans="1:63" x14ac:dyDescent="0.2">
      <c r="A36" s="194"/>
      <c r="B36" s="195" t="s">
        <v>578</v>
      </c>
      <c r="C36" s="185"/>
      <c r="D36" s="126"/>
      <c r="E36" s="127"/>
      <c r="F36" s="127"/>
      <c r="G36" s="127"/>
      <c r="H36" s="127"/>
      <c r="I36" s="127"/>
      <c r="J36" s="127">
        <f t="shared" ref="J36" si="47">SUM(J37:J39)</f>
        <v>0</v>
      </c>
      <c r="K36" s="196">
        <f t="shared" ref="K36:K38" si="48">C36-SUM(D36:G36,H36:I36,J36)</f>
        <v>0</v>
      </c>
      <c r="M36" s="194"/>
      <c r="N36" s="195" t="s">
        <v>578</v>
      </c>
      <c r="O36" s="185"/>
      <c r="P36" s="126"/>
      <c r="Q36" s="127"/>
      <c r="R36" s="127"/>
      <c r="S36" s="127"/>
      <c r="T36" s="127"/>
      <c r="U36" s="127"/>
      <c r="V36" s="127">
        <f t="shared" ref="V36" si="49">SUM(V37:V39)</f>
        <v>0</v>
      </c>
      <c r="W36" s="196">
        <f t="shared" ref="W36:W38" si="50">O36-SUM(P36:S36,T36:U36,V36)</f>
        <v>0</v>
      </c>
      <c r="Y36" s="2"/>
      <c r="Z36" s="6" t="s">
        <v>578</v>
      </c>
      <c r="AA36" s="125"/>
      <c r="AB36" s="126"/>
      <c r="AC36" s="127"/>
      <c r="AD36" s="127"/>
      <c r="AE36" s="127"/>
      <c r="AF36" s="127"/>
      <c r="AG36" s="127"/>
      <c r="AH36" s="127">
        <f t="shared" ref="AH36" si="51">SUM(AH37:AH39)</f>
        <v>0</v>
      </c>
      <c r="AI36" s="123">
        <f t="shared" ref="AI36:AI38" si="52">AA36-SUM(AB36:AE36,AF36:AG36,AH36)</f>
        <v>0</v>
      </c>
      <c r="AK36" s="2"/>
      <c r="AL36" s="6" t="s">
        <v>578</v>
      </c>
      <c r="AM36" s="125"/>
      <c r="AN36" s="126"/>
      <c r="AO36" s="127"/>
      <c r="AP36" s="127"/>
      <c r="AQ36" s="127"/>
      <c r="AR36" s="127"/>
      <c r="AS36" s="127"/>
      <c r="AT36" s="127">
        <f t="shared" ref="AT36" si="53">SUM(AT37:AT39)</f>
        <v>0</v>
      </c>
      <c r="AU36" s="123">
        <f t="shared" ref="AU36:AU38" si="54">AM36-SUM(AN36:AQ36,AR36:AS36,AT36)</f>
        <v>0</v>
      </c>
      <c r="AW36" s="194"/>
      <c r="AX36" s="195" t="s">
        <v>578</v>
      </c>
      <c r="AY36" s="185"/>
      <c r="AZ36" s="126"/>
      <c r="BA36" s="127"/>
      <c r="BB36" s="127"/>
      <c r="BC36" s="127"/>
      <c r="BD36" s="127"/>
      <c r="BE36" s="127"/>
      <c r="BF36" s="127">
        <f t="shared" ref="BF36" si="55">SUM(BF37:BF39)</f>
        <v>0</v>
      </c>
      <c r="BG36" s="196">
        <f t="shared" ref="BG36:BG38" si="56">AY36-SUM(AZ36:BC36,BD36:BE36,BF36)</f>
        <v>0</v>
      </c>
      <c r="BI36" s="69" t="str">
        <f>IF(OR(K36&lt;0,W36&lt;0,AI36&lt;0,AU36&lt;0,BG36&lt;0),"!! Total must be &gt;= sum by situation",IF(OR(C36&lt;SUM(O36,AA36,AM36,AY36),D36&lt;SUM(P36,AB36,AN36,AZ36),E36&lt;SUM(Q36,AC36,AO36,BA36),F36&lt;SUM(R36,AD36,AP36,BB36),G36&lt;SUM(S36,AE36,AQ36,BC36),H36&lt;SUM(T36,AF36,AR36,BD36),I36&lt;SUM(U36,AG36,AS36,BE36),J36&lt;SUM(V36,AH36,AT36,BF36)),"!! Values in FU1 must be &gt;= sum of values in FU2 - FU5",""))</f>
        <v/>
      </c>
      <c r="BK36" s="265"/>
    </row>
    <row r="37" spans="1:63" x14ac:dyDescent="0.2">
      <c r="A37" s="194"/>
      <c r="B37" s="195" t="s">
        <v>6</v>
      </c>
      <c r="C37" s="185"/>
      <c r="D37" s="126"/>
      <c r="E37" s="127"/>
      <c r="F37" s="127"/>
      <c r="G37" s="127"/>
      <c r="H37" s="127"/>
      <c r="I37" s="127"/>
      <c r="J37" s="127">
        <v>0</v>
      </c>
      <c r="K37" s="196">
        <f t="shared" si="48"/>
        <v>0</v>
      </c>
      <c r="M37" s="194"/>
      <c r="N37" s="195" t="s">
        <v>6</v>
      </c>
      <c r="O37" s="185"/>
      <c r="P37" s="126"/>
      <c r="Q37" s="127"/>
      <c r="R37" s="127"/>
      <c r="S37" s="127"/>
      <c r="T37" s="127"/>
      <c r="U37" s="127"/>
      <c r="V37" s="127">
        <v>0</v>
      </c>
      <c r="W37" s="196">
        <f t="shared" si="50"/>
        <v>0</v>
      </c>
      <c r="Y37" s="2"/>
      <c r="Z37" s="6" t="s">
        <v>6</v>
      </c>
      <c r="AA37" s="125"/>
      <c r="AB37" s="126"/>
      <c r="AC37" s="127"/>
      <c r="AD37" s="127"/>
      <c r="AE37" s="127"/>
      <c r="AF37" s="127"/>
      <c r="AG37" s="127"/>
      <c r="AH37" s="127">
        <v>0</v>
      </c>
      <c r="AI37" s="123">
        <f t="shared" si="52"/>
        <v>0</v>
      </c>
      <c r="AK37" s="2"/>
      <c r="AL37" s="6" t="s">
        <v>6</v>
      </c>
      <c r="AM37" s="125"/>
      <c r="AN37" s="126"/>
      <c r="AO37" s="127"/>
      <c r="AP37" s="127"/>
      <c r="AQ37" s="127"/>
      <c r="AR37" s="127"/>
      <c r="AS37" s="127"/>
      <c r="AT37" s="127">
        <v>0</v>
      </c>
      <c r="AU37" s="123">
        <f t="shared" si="54"/>
        <v>0</v>
      </c>
      <c r="AW37" s="194"/>
      <c r="AX37" s="195" t="s">
        <v>6</v>
      </c>
      <c r="AY37" s="185"/>
      <c r="AZ37" s="126"/>
      <c r="BA37" s="127"/>
      <c r="BB37" s="127"/>
      <c r="BC37" s="127"/>
      <c r="BD37" s="127"/>
      <c r="BE37" s="127"/>
      <c r="BF37" s="127">
        <v>0</v>
      </c>
      <c r="BG37" s="196">
        <f t="shared" si="56"/>
        <v>0</v>
      </c>
      <c r="BI37" s="69" t="str">
        <f>IF(OR(K37&lt;0,W37&lt;0,AI37&lt;0,AU37&lt;0,BG37&lt;0),"!! Total must be &gt;= sum by situation",IF(OR(C37&lt;SUM(O37,AA37,AM37,AY37),D37&lt;SUM(P37,AB37,AN37,AZ37),E37&lt;SUM(Q37,AC37,AO37,BA37),F37&lt;SUM(R37,AD37,AP37,BB37),G37&lt;SUM(S37,AE37,AQ37,BC37),H37&lt;SUM(T37,AF37,AR37,BD37),I37&lt;SUM(U37,AG37,AS37,BE37),J37&lt;SUM(V37,AH37,AT37,BF37)),"!! Values in FU1 must be &gt;= sum of values in FU2 - FU5",""))</f>
        <v/>
      </c>
      <c r="BK37" s="265"/>
    </row>
    <row r="38" spans="1:63" x14ac:dyDescent="0.2">
      <c r="A38" s="194"/>
      <c r="B38" s="195" t="s">
        <v>7</v>
      </c>
      <c r="C38" s="185"/>
      <c r="D38" s="126"/>
      <c r="E38" s="126"/>
      <c r="F38" s="126"/>
      <c r="G38" s="126"/>
      <c r="H38" s="126"/>
      <c r="I38" s="126"/>
      <c r="J38" s="127">
        <v>0</v>
      </c>
      <c r="K38" s="196">
        <f t="shared" si="48"/>
        <v>0</v>
      </c>
      <c r="M38" s="194"/>
      <c r="N38" s="195" t="s">
        <v>7</v>
      </c>
      <c r="O38" s="185"/>
      <c r="P38" s="126"/>
      <c r="Q38" s="126"/>
      <c r="R38" s="126"/>
      <c r="S38" s="126"/>
      <c r="T38" s="126"/>
      <c r="U38" s="126"/>
      <c r="V38" s="127">
        <v>0</v>
      </c>
      <c r="W38" s="196">
        <f t="shared" si="50"/>
        <v>0</v>
      </c>
      <c r="Y38" s="2"/>
      <c r="Z38" s="6" t="s">
        <v>7</v>
      </c>
      <c r="AA38" s="125"/>
      <c r="AB38" s="126"/>
      <c r="AC38" s="127"/>
      <c r="AD38" s="127"/>
      <c r="AE38" s="127"/>
      <c r="AF38" s="127"/>
      <c r="AG38" s="127"/>
      <c r="AH38" s="127">
        <v>0</v>
      </c>
      <c r="AI38" s="123">
        <f t="shared" si="52"/>
        <v>0</v>
      </c>
      <c r="AK38" s="2"/>
      <c r="AL38" s="6" t="s">
        <v>7</v>
      </c>
      <c r="AM38" s="125"/>
      <c r="AN38" s="126"/>
      <c r="AO38" s="126"/>
      <c r="AP38" s="126"/>
      <c r="AQ38" s="126"/>
      <c r="AR38" s="126"/>
      <c r="AS38" s="126"/>
      <c r="AT38" s="127">
        <v>0</v>
      </c>
      <c r="AU38" s="123">
        <f t="shared" si="54"/>
        <v>0</v>
      </c>
      <c r="AW38" s="194"/>
      <c r="AX38" s="195" t="s">
        <v>7</v>
      </c>
      <c r="AY38" s="185"/>
      <c r="AZ38" s="126"/>
      <c r="BA38" s="126"/>
      <c r="BB38" s="126"/>
      <c r="BC38" s="126"/>
      <c r="BD38" s="126"/>
      <c r="BE38" s="126"/>
      <c r="BF38" s="127">
        <v>0</v>
      </c>
      <c r="BG38" s="196">
        <f t="shared" si="56"/>
        <v>0</v>
      </c>
      <c r="BI38" s="69" t="str">
        <f t="shared" ref="BI38:BI39" si="57">IF(OR(K38&lt;0,W38&lt;0,AI38&lt;0,AU38&lt;0,BG38&lt;0),"!! Total must be &gt;= sum by situation",IF(OR(C38&lt;SUM(O38,AA38,AM38,AY38),D38&lt;SUM(P38,AB38,AN38,AZ38),E38&lt;SUM(Q38,AC38,AO38,BA38),F38&lt;SUM(R38,AD38,AP38,BB38),G38&lt;SUM(S38,AE38,AQ38,BC38),H38&lt;SUM(T38,AF38,AR38,BD38),I38&lt;SUM(U38,AG38,AS38,BE38),J38&lt;SUM(V38,AH38,AT38,BF38)),"!! Values in FU1 must be &gt;= sum of values in FU2 - FU5",""))</f>
        <v/>
      </c>
      <c r="BK38" s="265"/>
    </row>
    <row r="39" spans="1:63" x14ac:dyDescent="0.2">
      <c r="A39" s="194"/>
      <c r="B39" s="195" t="s">
        <v>577</v>
      </c>
      <c r="C39" s="185"/>
      <c r="D39" s="126"/>
      <c r="E39" s="127"/>
      <c r="F39" s="127"/>
      <c r="G39" s="127"/>
      <c r="H39" s="127"/>
      <c r="I39" s="127"/>
      <c r="J39" s="127">
        <v>0</v>
      </c>
      <c r="K39" s="196">
        <f>C39-SUM(D39:G39,H39:I39,J39)</f>
        <v>0</v>
      </c>
      <c r="M39" s="194"/>
      <c r="N39" s="195" t="s">
        <v>577</v>
      </c>
      <c r="O39" s="185"/>
      <c r="P39" s="126"/>
      <c r="Q39" s="127"/>
      <c r="R39" s="127"/>
      <c r="S39" s="127"/>
      <c r="T39" s="127"/>
      <c r="U39" s="127"/>
      <c r="V39" s="127">
        <v>0</v>
      </c>
      <c r="W39" s="196">
        <f>O39-SUM(P39:S39,T39:U39,V39)</f>
        <v>0</v>
      </c>
      <c r="Y39" s="2"/>
      <c r="Z39" s="6" t="s">
        <v>577</v>
      </c>
      <c r="AA39" s="125"/>
      <c r="AB39" s="126"/>
      <c r="AC39" s="127"/>
      <c r="AD39" s="127"/>
      <c r="AE39" s="127"/>
      <c r="AF39" s="127"/>
      <c r="AG39" s="127"/>
      <c r="AH39" s="127">
        <v>0</v>
      </c>
      <c r="AI39" s="123">
        <f>AA39-SUM(AB39:AE39,AF39:AG39,AH39)</f>
        <v>0</v>
      </c>
      <c r="AK39" s="2"/>
      <c r="AL39" s="6" t="s">
        <v>577</v>
      </c>
      <c r="AM39" s="125"/>
      <c r="AN39" s="126"/>
      <c r="AO39" s="127"/>
      <c r="AP39" s="127"/>
      <c r="AQ39" s="127"/>
      <c r="AR39" s="127"/>
      <c r="AS39" s="127"/>
      <c r="AT39" s="127">
        <v>0</v>
      </c>
      <c r="AU39" s="123">
        <f>AM39-SUM(AN39:AQ39,AR39:AS39,AT39)</f>
        <v>0</v>
      </c>
      <c r="AW39" s="194"/>
      <c r="AX39" s="195" t="s">
        <v>577</v>
      </c>
      <c r="AY39" s="185"/>
      <c r="AZ39" s="126"/>
      <c r="BA39" s="127"/>
      <c r="BB39" s="127"/>
      <c r="BC39" s="127"/>
      <c r="BD39" s="127"/>
      <c r="BE39" s="127"/>
      <c r="BF39" s="127">
        <v>0</v>
      </c>
      <c r="BG39" s="196">
        <f>AY39-SUM(AZ39:BC39,BD39:BE39,BF39)</f>
        <v>0</v>
      </c>
      <c r="BI39" s="69" t="str">
        <f t="shared" si="57"/>
        <v/>
      </c>
      <c r="BK39" s="265"/>
    </row>
    <row r="40" spans="1:63" x14ac:dyDescent="0.2">
      <c r="A40" s="183" t="s">
        <v>4</v>
      </c>
      <c r="B40" s="179"/>
      <c r="C40" s="172" t="str">
        <f>C$18</f>
        <v>Total</v>
      </c>
      <c r="D40" s="180" t="str">
        <f>D$18</f>
        <v>Employment</v>
      </c>
      <c r="E40" s="180" t="str">
        <f t="shared" ref="E40:K40" si="58">E$18</f>
        <v>Education</v>
      </c>
      <c r="F40" s="180" t="str">
        <f t="shared" si="58"/>
        <v>Apprenticeship</v>
      </c>
      <c r="G40" s="180" t="str">
        <f t="shared" si="58"/>
        <v>Traineeship</v>
      </c>
      <c r="H40" s="180" t="str">
        <f t="shared" si="58"/>
        <v>Unemployment</v>
      </c>
      <c r="I40" s="180" t="str">
        <f t="shared" si="58"/>
        <v>Inactivity</v>
      </c>
      <c r="J40" s="180" t="str">
        <f t="shared" si="58"/>
        <v>Not applicable</v>
      </c>
      <c r="K40" s="182" t="str">
        <f t="shared" si="58"/>
        <v>Unknown</v>
      </c>
      <c r="M40" s="183" t="s">
        <v>4</v>
      </c>
      <c r="N40" s="179"/>
      <c r="O40" s="172" t="str">
        <f>O$18</f>
        <v>Total</v>
      </c>
      <c r="P40" s="180" t="str">
        <f>P$18</f>
        <v>Employment</v>
      </c>
      <c r="Q40" s="180" t="str">
        <f t="shared" ref="Q40:W40" si="59">Q$18</f>
        <v>Education</v>
      </c>
      <c r="R40" s="180" t="str">
        <f t="shared" si="59"/>
        <v>Apprenticeship</v>
      </c>
      <c r="S40" s="180" t="str">
        <f t="shared" si="59"/>
        <v>Traineeship</v>
      </c>
      <c r="T40" s="180" t="str">
        <f t="shared" si="59"/>
        <v>Unemployment</v>
      </c>
      <c r="U40" s="180" t="str">
        <f t="shared" si="59"/>
        <v>Inactivity</v>
      </c>
      <c r="V40" s="180" t="str">
        <f t="shared" si="59"/>
        <v>Not applicable</v>
      </c>
      <c r="W40" s="182" t="str">
        <f t="shared" si="59"/>
        <v>Unknown</v>
      </c>
      <c r="Y40" s="183" t="s">
        <v>4</v>
      </c>
      <c r="Z40" s="179"/>
      <c r="AA40" s="172" t="str">
        <f>AA$18</f>
        <v>Total</v>
      </c>
      <c r="AB40" s="180" t="str">
        <f>AB$18</f>
        <v>Employment</v>
      </c>
      <c r="AC40" s="180" t="str">
        <f t="shared" ref="AC40:AI40" si="60">AC$18</f>
        <v>Education</v>
      </c>
      <c r="AD40" s="180" t="str">
        <f t="shared" si="60"/>
        <v>Apprenticeship</v>
      </c>
      <c r="AE40" s="180" t="str">
        <f t="shared" si="60"/>
        <v>Traineeship</v>
      </c>
      <c r="AF40" s="180" t="str">
        <f t="shared" si="60"/>
        <v>Unemployment</v>
      </c>
      <c r="AG40" s="181" t="str">
        <f t="shared" si="60"/>
        <v>Inactivity</v>
      </c>
      <c r="AH40" s="181" t="str">
        <f t="shared" si="60"/>
        <v>Not applicable</v>
      </c>
      <c r="AI40" s="182" t="str">
        <f t="shared" si="60"/>
        <v>Unknown</v>
      </c>
      <c r="AK40" s="183" t="s">
        <v>4</v>
      </c>
      <c r="AL40" s="179"/>
      <c r="AM40" s="172" t="str">
        <f>AM$18</f>
        <v>Total</v>
      </c>
      <c r="AN40" s="180" t="str">
        <f>AN$18</f>
        <v>Employment</v>
      </c>
      <c r="AO40" s="180" t="str">
        <f t="shared" ref="AO40:AU40" si="61">AO$18</f>
        <v>Education</v>
      </c>
      <c r="AP40" s="180" t="str">
        <f t="shared" si="61"/>
        <v>Apprenticeship</v>
      </c>
      <c r="AQ40" s="180" t="str">
        <f t="shared" si="61"/>
        <v>Traineeship</v>
      </c>
      <c r="AR40" s="180" t="str">
        <f t="shared" si="61"/>
        <v>Unemployment</v>
      </c>
      <c r="AS40" s="180" t="str">
        <f t="shared" si="61"/>
        <v>Inactivity</v>
      </c>
      <c r="AT40" s="180" t="str">
        <f t="shared" si="61"/>
        <v>Not applicable</v>
      </c>
      <c r="AU40" s="182" t="str">
        <f t="shared" si="61"/>
        <v>Unknown</v>
      </c>
      <c r="AW40" s="183" t="s">
        <v>4</v>
      </c>
      <c r="AX40" s="179"/>
      <c r="AY40" s="172" t="str">
        <f>AY$18</f>
        <v>Total</v>
      </c>
      <c r="AZ40" s="180" t="str">
        <f>AZ$18</f>
        <v>Employment</v>
      </c>
      <c r="BA40" s="180" t="str">
        <f t="shared" ref="BA40:BG40" si="62">BA$18</f>
        <v>Education</v>
      </c>
      <c r="BB40" s="180" t="str">
        <f t="shared" si="62"/>
        <v>Apprenticeship</v>
      </c>
      <c r="BC40" s="180" t="str">
        <f t="shared" si="62"/>
        <v>Traineeship</v>
      </c>
      <c r="BD40" s="180" t="str">
        <f t="shared" si="62"/>
        <v>Unemployment</v>
      </c>
      <c r="BE40" s="180" t="str">
        <f t="shared" si="62"/>
        <v>Inactivity</v>
      </c>
      <c r="BF40" s="180" t="str">
        <f t="shared" si="62"/>
        <v>Not applicable</v>
      </c>
      <c r="BG40" s="182" t="str">
        <f t="shared" si="62"/>
        <v>Unknown</v>
      </c>
      <c r="BI40" s="69"/>
      <c r="BK40" s="265"/>
    </row>
    <row r="41" spans="1:63" x14ac:dyDescent="0.2">
      <c r="A41" s="194"/>
      <c r="B41" s="195" t="s">
        <v>578</v>
      </c>
      <c r="C41" s="185"/>
      <c r="D41" s="126"/>
      <c r="E41" s="127"/>
      <c r="F41" s="127"/>
      <c r="G41" s="127"/>
      <c r="H41" s="127"/>
      <c r="I41" s="127"/>
      <c r="J41" s="127">
        <f t="shared" ref="J41" si="63">SUM(J42:J44)</f>
        <v>0</v>
      </c>
      <c r="K41" s="196">
        <f t="shared" ref="K41:K44" si="64">C41-SUM(D41:G41,H41:I41,J41)</f>
        <v>0</v>
      </c>
      <c r="M41" s="194"/>
      <c r="N41" s="195" t="s">
        <v>578</v>
      </c>
      <c r="O41" s="185"/>
      <c r="P41" s="126"/>
      <c r="Q41" s="127"/>
      <c r="R41" s="127"/>
      <c r="S41" s="127"/>
      <c r="T41" s="127"/>
      <c r="U41" s="127"/>
      <c r="V41" s="127">
        <f t="shared" ref="V41" si="65">SUM(V42:V44)</f>
        <v>0</v>
      </c>
      <c r="W41" s="196">
        <f t="shared" ref="W41:W44" si="66">O41-SUM(P41:S41,T41:U41,V41)</f>
        <v>0</v>
      </c>
      <c r="Y41" s="2"/>
      <c r="Z41" s="6" t="s">
        <v>578</v>
      </c>
      <c r="AA41" s="125"/>
      <c r="AB41" s="126"/>
      <c r="AC41" s="127"/>
      <c r="AD41" s="127"/>
      <c r="AE41" s="127"/>
      <c r="AF41" s="127"/>
      <c r="AG41" s="127"/>
      <c r="AH41" s="127">
        <f t="shared" ref="AH41" si="67">SUM(AH42:AH44)</f>
        <v>0</v>
      </c>
      <c r="AI41" s="123">
        <f t="shared" ref="AI41:AI44" si="68">AA41-SUM(AB41:AE41,AF41:AG41,AH41)</f>
        <v>0</v>
      </c>
      <c r="AK41" s="2"/>
      <c r="AL41" s="6" t="s">
        <v>578</v>
      </c>
      <c r="AM41" s="125"/>
      <c r="AN41" s="126"/>
      <c r="AO41" s="127"/>
      <c r="AP41" s="127"/>
      <c r="AQ41" s="127"/>
      <c r="AR41" s="127"/>
      <c r="AS41" s="127"/>
      <c r="AT41" s="127">
        <f t="shared" ref="AT41" si="69">SUM(AT42:AT44)</f>
        <v>0</v>
      </c>
      <c r="AU41" s="123">
        <f t="shared" ref="AU41:AU44" si="70">AM41-SUM(AN41:AQ41,AR41:AS41,AT41)</f>
        <v>0</v>
      </c>
      <c r="AW41" s="194"/>
      <c r="AX41" s="195" t="s">
        <v>578</v>
      </c>
      <c r="AY41" s="185"/>
      <c r="AZ41" s="126"/>
      <c r="BA41" s="127"/>
      <c r="BB41" s="127"/>
      <c r="BC41" s="127"/>
      <c r="BD41" s="127"/>
      <c r="BE41" s="127"/>
      <c r="BF41" s="127">
        <f t="shared" ref="BF41" si="71">SUM(BF42:BF44)</f>
        <v>0</v>
      </c>
      <c r="BG41" s="196">
        <f t="shared" ref="BG41:BG44" si="72">AY41-SUM(AZ41:BC41,BD41:BE41,BF41)</f>
        <v>0</v>
      </c>
      <c r="BI41" s="69" t="str">
        <f>IF(OR(K41&lt;0,W41&lt;0,AI41&lt;0,AU41&lt;0,BG41&lt;0),"!! Total must be &gt;= sum by situation",IF(OR(C41&lt;SUM(O41,AA41,AM41,AY41),D41&lt;SUM(P41,AB41,AN41,AZ41),E41&lt;SUM(Q41,AC41,AO41,BA41),F41&lt;SUM(R41,AD41,AP41,BB41),G41&lt;SUM(S41,AE41,AQ41,BC41),H41&lt;SUM(T41,AF41,AR41,BD41),I41&lt;SUM(U41,AG41,AS41,BE41),J41&lt;SUM(V41,AH41,AT41,BF41)),"!! Values in FU1 must be &gt;= sum of values in FU2 - FU5",""))</f>
        <v/>
      </c>
      <c r="BK41" s="265"/>
    </row>
    <row r="42" spans="1:63" x14ac:dyDescent="0.2">
      <c r="A42" s="194"/>
      <c r="B42" s="195" t="s">
        <v>6</v>
      </c>
      <c r="C42" s="185"/>
      <c r="D42" s="126"/>
      <c r="E42" s="127"/>
      <c r="F42" s="127"/>
      <c r="G42" s="127"/>
      <c r="H42" s="127"/>
      <c r="I42" s="127"/>
      <c r="J42" s="127">
        <v>0</v>
      </c>
      <c r="K42" s="196">
        <f t="shared" si="64"/>
        <v>0</v>
      </c>
      <c r="M42" s="194"/>
      <c r="N42" s="195" t="s">
        <v>6</v>
      </c>
      <c r="O42" s="185"/>
      <c r="P42" s="126"/>
      <c r="Q42" s="127"/>
      <c r="R42" s="127"/>
      <c r="S42" s="127"/>
      <c r="T42" s="127"/>
      <c r="U42" s="127"/>
      <c r="V42" s="127">
        <v>0</v>
      </c>
      <c r="W42" s="196">
        <f t="shared" si="66"/>
        <v>0</v>
      </c>
      <c r="Y42" s="2"/>
      <c r="Z42" s="6" t="s">
        <v>6</v>
      </c>
      <c r="AA42" s="125"/>
      <c r="AB42" s="126"/>
      <c r="AC42" s="127"/>
      <c r="AD42" s="127"/>
      <c r="AE42" s="127"/>
      <c r="AF42" s="127"/>
      <c r="AG42" s="127"/>
      <c r="AH42" s="127">
        <v>0</v>
      </c>
      <c r="AI42" s="123">
        <f t="shared" si="68"/>
        <v>0</v>
      </c>
      <c r="AK42" s="2"/>
      <c r="AL42" s="6" t="s">
        <v>6</v>
      </c>
      <c r="AM42" s="125"/>
      <c r="AN42" s="126"/>
      <c r="AO42" s="127"/>
      <c r="AP42" s="127"/>
      <c r="AQ42" s="127"/>
      <c r="AR42" s="127"/>
      <c r="AS42" s="127"/>
      <c r="AT42" s="127">
        <v>0</v>
      </c>
      <c r="AU42" s="123">
        <f t="shared" si="70"/>
        <v>0</v>
      </c>
      <c r="AW42" s="194"/>
      <c r="AX42" s="195" t="s">
        <v>6</v>
      </c>
      <c r="AY42" s="185"/>
      <c r="AZ42" s="126"/>
      <c r="BA42" s="127"/>
      <c r="BB42" s="127"/>
      <c r="BC42" s="127"/>
      <c r="BD42" s="127"/>
      <c r="BE42" s="127"/>
      <c r="BF42" s="127">
        <v>0</v>
      </c>
      <c r="BG42" s="196">
        <f t="shared" si="72"/>
        <v>0</v>
      </c>
      <c r="BI42" s="69" t="str">
        <f>IF(OR(K42&lt;0,W42&lt;0,AI42&lt;0,AU42&lt;0,BG42&lt;0),"!! Total must be &gt;= sum by situation",IF(OR(C42&lt;SUM(O42,AA42,AM42,AY42),D42&lt;SUM(P42,AB42,AN42,AZ42),E42&lt;SUM(Q42,AC42,AO42,BA42),F42&lt;SUM(R42,AD42,AP42,BB42),G42&lt;SUM(S42,AE42,AQ42,BC42),H42&lt;SUM(T42,AF42,AR42,BD42),I42&lt;SUM(U42,AG42,AS42,BE42),J42&lt;SUM(V42,AH42,AT42,BF42)),"!! Values in FU1 must be &gt;= sum of values in FU2 - FU5",""))</f>
        <v/>
      </c>
      <c r="BK42" s="265"/>
    </row>
    <row r="43" spans="1:63" x14ac:dyDescent="0.2">
      <c r="A43" s="194"/>
      <c r="B43" s="195" t="s">
        <v>7</v>
      </c>
      <c r="C43" s="185"/>
      <c r="D43" s="126"/>
      <c r="E43" s="126"/>
      <c r="F43" s="126"/>
      <c r="G43" s="126"/>
      <c r="H43" s="126"/>
      <c r="I43" s="126"/>
      <c r="J43" s="127">
        <v>0</v>
      </c>
      <c r="K43" s="196">
        <f t="shared" si="64"/>
        <v>0</v>
      </c>
      <c r="M43" s="194"/>
      <c r="N43" s="195" t="s">
        <v>7</v>
      </c>
      <c r="O43" s="185"/>
      <c r="P43" s="126"/>
      <c r="Q43" s="126"/>
      <c r="R43" s="126"/>
      <c r="S43" s="126"/>
      <c r="T43" s="126"/>
      <c r="U43" s="126"/>
      <c r="V43" s="127">
        <v>0</v>
      </c>
      <c r="W43" s="196">
        <f t="shared" si="66"/>
        <v>0</v>
      </c>
      <c r="Y43" s="2"/>
      <c r="Z43" s="6" t="s">
        <v>7</v>
      </c>
      <c r="AA43" s="125"/>
      <c r="AB43" s="126"/>
      <c r="AC43" s="127"/>
      <c r="AD43" s="127"/>
      <c r="AE43" s="127"/>
      <c r="AF43" s="127"/>
      <c r="AG43" s="127"/>
      <c r="AH43" s="127">
        <v>0</v>
      </c>
      <c r="AI43" s="123">
        <f t="shared" si="68"/>
        <v>0</v>
      </c>
      <c r="AK43" s="2"/>
      <c r="AL43" s="6" t="s">
        <v>7</v>
      </c>
      <c r="AM43" s="125"/>
      <c r="AN43" s="126"/>
      <c r="AO43" s="126"/>
      <c r="AP43" s="126"/>
      <c r="AQ43" s="126"/>
      <c r="AR43" s="126"/>
      <c r="AS43" s="126"/>
      <c r="AT43" s="127">
        <v>0</v>
      </c>
      <c r="AU43" s="123">
        <f t="shared" si="70"/>
        <v>0</v>
      </c>
      <c r="AW43" s="194"/>
      <c r="AX43" s="195" t="s">
        <v>7</v>
      </c>
      <c r="AY43" s="185"/>
      <c r="AZ43" s="126"/>
      <c r="BA43" s="126"/>
      <c r="BB43" s="126"/>
      <c r="BC43" s="126"/>
      <c r="BD43" s="126"/>
      <c r="BE43" s="126"/>
      <c r="BF43" s="127">
        <v>0</v>
      </c>
      <c r="BG43" s="196">
        <f t="shared" si="72"/>
        <v>0</v>
      </c>
      <c r="BI43" s="69" t="str">
        <f t="shared" ref="BI43:BI44" si="73">IF(OR(K43&lt;0,W43&lt;0,AI43&lt;0,AU43&lt;0,BG43&lt;0),"!! Total must be &gt;= sum by situation",IF(OR(C43&lt;SUM(O43,AA43,AM43,AY43),D43&lt;SUM(P43,AB43,AN43,AZ43),E43&lt;SUM(Q43,AC43,AO43,BA43),F43&lt;SUM(R43,AD43,AP43,BB43),G43&lt;SUM(S43,AE43,AQ43,BC43),H43&lt;SUM(T43,AF43,AR43,BD43),I43&lt;SUM(U43,AG43,AS43,BE43),J43&lt;SUM(V43,AH43,AT43,BF43)),"!! Values in FU1 must be &gt;= sum of values in FU2 - FU5",""))</f>
        <v/>
      </c>
      <c r="BK43" s="265"/>
    </row>
    <row r="44" spans="1:63" x14ac:dyDescent="0.2">
      <c r="A44" s="194"/>
      <c r="B44" s="195" t="s">
        <v>577</v>
      </c>
      <c r="C44" s="185"/>
      <c r="D44" s="126"/>
      <c r="E44" s="127"/>
      <c r="F44" s="127"/>
      <c r="G44" s="127"/>
      <c r="H44" s="127"/>
      <c r="I44" s="127"/>
      <c r="J44" s="127">
        <v>0</v>
      </c>
      <c r="K44" s="196">
        <f t="shared" si="64"/>
        <v>0</v>
      </c>
      <c r="M44" s="194"/>
      <c r="N44" s="195" t="s">
        <v>577</v>
      </c>
      <c r="O44" s="185"/>
      <c r="P44" s="126"/>
      <c r="Q44" s="127"/>
      <c r="R44" s="127"/>
      <c r="S44" s="127"/>
      <c r="T44" s="127"/>
      <c r="U44" s="127"/>
      <c r="V44" s="127">
        <v>0</v>
      </c>
      <c r="W44" s="196">
        <f t="shared" si="66"/>
        <v>0</v>
      </c>
      <c r="Y44" s="2"/>
      <c r="Z44" s="6" t="s">
        <v>577</v>
      </c>
      <c r="AA44" s="125"/>
      <c r="AB44" s="126"/>
      <c r="AC44" s="127"/>
      <c r="AD44" s="127"/>
      <c r="AE44" s="127"/>
      <c r="AF44" s="127"/>
      <c r="AG44" s="127"/>
      <c r="AH44" s="127">
        <v>0</v>
      </c>
      <c r="AI44" s="123">
        <f t="shared" si="68"/>
        <v>0</v>
      </c>
      <c r="AK44" s="2"/>
      <c r="AL44" s="6" t="s">
        <v>577</v>
      </c>
      <c r="AM44" s="125"/>
      <c r="AN44" s="126"/>
      <c r="AO44" s="127"/>
      <c r="AP44" s="127"/>
      <c r="AQ44" s="127"/>
      <c r="AR44" s="127"/>
      <c r="AS44" s="127"/>
      <c r="AT44" s="127">
        <v>0</v>
      </c>
      <c r="AU44" s="123">
        <f t="shared" si="70"/>
        <v>0</v>
      </c>
      <c r="AW44" s="194"/>
      <c r="AX44" s="195" t="s">
        <v>577</v>
      </c>
      <c r="AY44" s="185"/>
      <c r="AZ44" s="126"/>
      <c r="BA44" s="127"/>
      <c r="BB44" s="127"/>
      <c r="BC44" s="127"/>
      <c r="BD44" s="127"/>
      <c r="BE44" s="127"/>
      <c r="BF44" s="127">
        <v>0</v>
      </c>
      <c r="BG44" s="196">
        <f t="shared" si="72"/>
        <v>0</v>
      </c>
      <c r="BI44" s="69" t="str">
        <f t="shared" si="73"/>
        <v/>
      </c>
      <c r="BK44" s="265"/>
    </row>
    <row r="45" spans="1:63" x14ac:dyDescent="0.2">
      <c r="A45" s="183" t="s">
        <v>5</v>
      </c>
      <c r="B45" s="179"/>
      <c r="C45" s="172" t="str">
        <f>C$18</f>
        <v>Total</v>
      </c>
      <c r="D45" s="180" t="str">
        <f>D$18</f>
        <v>Employment</v>
      </c>
      <c r="E45" s="180" t="str">
        <f t="shared" ref="E45:K45" si="74">E$18</f>
        <v>Education</v>
      </c>
      <c r="F45" s="180" t="str">
        <f t="shared" si="74"/>
        <v>Apprenticeship</v>
      </c>
      <c r="G45" s="180" t="str">
        <f t="shared" si="74"/>
        <v>Traineeship</v>
      </c>
      <c r="H45" s="180" t="str">
        <f t="shared" si="74"/>
        <v>Unemployment</v>
      </c>
      <c r="I45" s="180" t="str">
        <f t="shared" si="74"/>
        <v>Inactivity</v>
      </c>
      <c r="J45" s="180" t="str">
        <f t="shared" si="74"/>
        <v>Not applicable</v>
      </c>
      <c r="K45" s="182" t="str">
        <f t="shared" si="74"/>
        <v>Unknown</v>
      </c>
      <c r="M45" s="183" t="s">
        <v>5</v>
      </c>
      <c r="N45" s="179"/>
      <c r="O45" s="172" t="str">
        <f>O$18</f>
        <v>Total</v>
      </c>
      <c r="P45" s="180" t="str">
        <f>P$18</f>
        <v>Employment</v>
      </c>
      <c r="Q45" s="180" t="str">
        <f t="shared" ref="Q45:W45" si="75">Q$18</f>
        <v>Education</v>
      </c>
      <c r="R45" s="180" t="str">
        <f t="shared" si="75"/>
        <v>Apprenticeship</v>
      </c>
      <c r="S45" s="180" t="str">
        <f t="shared" si="75"/>
        <v>Traineeship</v>
      </c>
      <c r="T45" s="180" t="str">
        <f t="shared" si="75"/>
        <v>Unemployment</v>
      </c>
      <c r="U45" s="180" t="str">
        <f t="shared" si="75"/>
        <v>Inactivity</v>
      </c>
      <c r="V45" s="180" t="str">
        <f t="shared" si="75"/>
        <v>Not applicable</v>
      </c>
      <c r="W45" s="182" t="str">
        <f t="shared" si="75"/>
        <v>Unknown</v>
      </c>
      <c r="Y45" s="183" t="s">
        <v>5</v>
      </c>
      <c r="Z45" s="179"/>
      <c r="AA45" s="172" t="str">
        <f>AA$18</f>
        <v>Total</v>
      </c>
      <c r="AB45" s="180" t="str">
        <f>AB$18</f>
        <v>Employment</v>
      </c>
      <c r="AC45" s="180" t="str">
        <f t="shared" ref="AC45:AI45" si="76">AC$18</f>
        <v>Education</v>
      </c>
      <c r="AD45" s="180" t="str">
        <f t="shared" si="76"/>
        <v>Apprenticeship</v>
      </c>
      <c r="AE45" s="180" t="str">
        <f t="shared" si="76"/>
        <v>Traineeship</v>
      </c>
      <c r="AF45" s="180" t="str">
        <f t="shared" si="76"/>
        <v>Unemployment</v>
      </c>
      <c r="AG45" s="181" t="str">
        <f t="shared" si="76"/>
        <v>Inactivity</v>
      </c>
      <c r="AH45" s="181" t="str">
        <f t="shared" si="76"/>
        <v>Not applicable</v>
      </c>
      <c r="AI45" s="182" t="str">
        <f t="shared" si="76"/>
        <v>Unknown</v>
      </c>
      <c r="AK45" s="183" t="s">
        <v>5</v>
      </c>
      <c r="AL45" s="179"/>
      <c r="AM45" s="172" t="str">
        <f>AM$18</f>
        <v>Total</v>
      </c>
      <c r="AN45" s="180" t="str">
        <f>AN$18</f>
        <v>Employment</v>
      </c>
      <c r="AO45" s="180" t="str">
        <f t="shared" ref="AO45:AU45" si="77">AO$18</f>
        <v>Education</v>
      </c>
      <c r="AP45" s="180" t="str">
        <f t="shared" si="77"/>
        <v>Apprenticeship</v>
      </c>
      <c r="AQ45" s="180" t="str">
        <f t="shared" si="77"/>
        <v>Traineeship</v>
      </c>
      <c r="AR45" s="180" t="str">
        <f t="shared" si="77"/>
        <v>Unemployment</v>
      </c>
      <c r="AS45" s="180" t="str">
        <f t="shared" si="77"/>
        <v>Inactivity</v>
      </c>
      <c r="AT45" s="180" t="str">
        <f t="shared" si="77"/>
        <v>Not applicable</v>
      </c>
      <c r="AU45" s="182" t="str">
        <f t="shared" si="77"/>
        <v>Unknown</v>
      </c>
      <c r="AW45" s="183" t="s">
        <v>5</v>
      </c>
      <c r="AX45" s="179"/>
      <c r="AY45" s="172" t="str">
        <f>AY$18</f>
        <v>Total</v>
      </c>
      <c r="AZ45" s="180" t="str">
        <f>AZ$18</f>
        <v>Employment</v>
      </c>
      <c r="BA45" s="180" t="str">
        <f t="shared" ref="BA45:BG45" si="78">BA$18</f>
        <v>Education</v>
      </c>
      <c r="BB45" s="180" t="str">
        <f t="shared" si="78"/>
        <v>Apprenticeship</v>
      </c>
      <c r="BC45" s="180" t="str">
        <f t="shared" si="78"/>
        <v>Traineeship</v>
      </c>
      <c r="BD45" s="180" t="str">
        <f t="shared" si="78"/>
        <v>Unemployment</v>
      </c>
      <c r="BE45" s="180" t="str">
        <f t="shared" si="78"/>
        <v>Inactivity</v>
      </c>
      <c r="BF45" s="180" t="str">
        <f t="shared" si="78"/>
        <v>Not applicable</v>
      </c>
      <c r="BG45" s="182" t="str">
        <f t="shared" si="78"/>
        <v>Unknown</v>
      </c>
      <c r="BI45" s="69"/>
      <c r="BK45" s="265"/>
    </row>
    <row r="46" spans="1:63" x14ac:dyDescent="0.2">
      <c r="A46" s="194"/>
      <c r="B46" s="195" t="s">
        <v>578</v>
      </c>
      <c r="C46" s="185"/>
      <c r="D46" s="126"/>
      <c r="E46" s="127"/>
      <c r="F46" s="127"/>
      <c r="G46" s="127"/>
      <c r="H46" s="127"/>
      <c r="I46" s="127"/>
      <c r="J46" s="127">
        <f t="shared" ref="J46" si="79">SUM(J47:J49)</f>
        <v>0</v>
      </c>
      <c r="K46" s="196">
        <f t="shared" ref="K46:K49" si="80">C46-SUM(D46:G46,H46:I46,J46)</f>
        <v>0</v>
      </c>
      <c r="M46" s="194"/>
      <c r="N46" s="195" t="s">
        <v>578</v>
      </c>
      <c r="O46" s="185"/>
      <c r="P46" s="126"/>
      <c r="Q46" s="127"/>
      <c r="R46" s="127"/>
      <c r="S46" s="127"/>
      <c r="T46" s="127"/>
      <c r="U46" s="127"/>
      <c r="V46" s="127">
        <f t="shared" ref="V46" si="81">SUM(V47:V49)</f>
        <v>0</v>
      </c>
      <c r="W46" s="196">
        <f t="shared" ref="W46:W49" si="82">O46-SUM(P46:S46,T46:U46,V46)</f>
        <v>0</v>
      </c>
      <c r="Y46" s="2"/>
      <c r="Z46" s="6" t="s">
        <v>578</v>
      </c>
      <c r="AA46" s="125"/>
      <c r="AB46" s="126"/>
      <c r="AC46" s="127"/>
      <c r="AD46" s="127"/>
      <c r="AE46" s="127"/>
      <c r="AF46" s="127"/>
      <c r="AG46" s="127"/>
      <c r="AH46" s="127">
        <f t="shared" ref="AH46" si="83">SUM(AH47:AH49)</f>
        <v>0</v>
      </c>
      <c r="AI46" s="123">
        <f t="shared" ref="AI46:AI49" si="84">AA46-SUM(AB46:AE46,AF46:AG46,AH46)</f>
        <v>0</v>
      </c>
      <c r="AK46" s="2"/>
      <c r="AL46" s="6" t="s">
        <v>578</v>
      </c>
      <c r="AM46" s="125"/>
      <c r="AN46" s="126"/>
      <c r="AO46" s="127"/>
      <c r="AP46" s="127"/>
      <c r="AQ46" s="127"/>
      <c r="AR46" s="127"/>
      <c r="AS46" s="127"/>
      <c r="AT46" s="127">
        <f t="shared" ref="AT46" si="85">SUM(AT47:AT49)</f>
        <v>0</v>
      </c>
      <c r="AU46" s="123">
        <f t="shared" ref="AU46:AU49" si="86">AM46-SUM(AN46:AQ46,AR46:AS46,AT46)</f>
        <v>0</v>
      </c>
      <c r="AW46" s="194"/>
      <c r="AX46" s="195" t="s">
        <v>578</v>
      </c>
      <c r="AY46" s="185"/>
      <c r="AZ46" s="126"/>
      <c r="BA46" s="127"/>
      <c r="BB46" s="127"/>
      <c r="BC46" s="127"/>
      <c r="BD46" s="127"/>
      <c r="BE46" s="127"/>
      <c r="BF46" s="127">
        <f t="shared" ref="BF46" si="87">SUM(BF47:BF49)</f>
        <v>0</v>
      </c>
      <c r="BG46" s="196">
        <f t="shared" ref="BG46:BG49" si="88">AY46-SUM(AZ46:BC46,BD46:BE46,BF46)</f>
        <v>0</v>
      </c>
      <c r="BI46" s="69" t="str">
        <f>IF(OR(K46&lt;0,W46&lt;0,AI46&lt;0,AU46&lt;0,BG46&lt;0),"!! Total must be &gt;= sum by situation",IF(OR(C46&lt;SUM(O46,AA46,AM46,AY46),D46&lt;SUM(P46,AB46,AN46,AZ46),E46&lt;SUM(Q46,AC46,AO46,BA46),F46&lt;SUM(R46,AD46,AP46,BB46),G46&lt;SUM(S46,AE46,AQ46,BC46),H46&lt;SUM(T46,AF46,AR46,BD46),I46&lt;SUM(U46,AG46,AS46,BE46),J46&lt;SUM(V46,AH46,AT46,BF46)),"!! Values in FU1 must be &gt;= sum of values in FU2 - FU5",""))</f>
        <v/>
      </c>
      <c r="BK46" s="265"/>
    </row>
    <row r="47" spans="1:63" x14ac:dyDescent="0.2">
      <c r="A47" s="194"/>
      <c r="B47" s="195" t="s">
        <v>6</v>
      </c>
      <c r="C47" s="185"/>
      <c r="D47" s="126"/>
      <c r="E47" s="127"/>
      <c r="F47" s="127"/>
      <c r="G47" s="127"/>
      <c r="H47" s="127"/>
      <c r="I47" s="127"/>
      <c r="J47" s="127">
        <v>0</v>
      </c>
      <c r="K47" s="196">
        <f t="shared" si="80"/>
        <v>0</v>
      </c>
      <c r="M47" s="194"/>
      <c r="N47" s="195" t="s">
        <v>6</v>
      </c>
      <c r="O47" s="185"/>
      <c r="P47" s="126"/>
      <c r="Q47" s="127"/>
      <c r="R47" s="127"/>
      <c r="S47" s="127"/>
      <c r="T47" s="127"/>
      <c r="U47" s="127"/>
      <c r="V47" s="127">
        <v>0</v>
      </c>
      <c r="W47" s="196">
        <f t="shared" si="82"/>
        <v>0</v>
      </c>
      <c r="Y47" s="2"/>
      <c r="Z47" s="6" t="s">
        <v>6</v>
      </c>
      <c r="AA47" s="125"/>
      <c r="AB47" s="126"/>
      <c r="AC47" s="127"/>
      <c r="AD47" s="127"/>
      <c r="AE47" s="127"/>
      <c r="AF47" s="127"/>
      <c r="AG47" s="127"/>
      <c r="AH47" s="127">
        <v>0</v>
      </c>
      <c r="AI47" s="123">
        <f t="shared" si="84"/>
        <v>0</v>
      </c>
      <c r="AK47" s="2"/>
      <c r="AL47" s="6" t="s">
        <v>6</v>
      </c>
      <c r="AM47" s="125"/>
      <c r="AN47" s="126"/>
      <c r="AO47" s="127"/>
      <c r="AP47" s="127"/>
      <c r="AQ47" s="127"/>
      <c r="AR47" s="127"/>
      <c r="AS47" s="127"/>
      <c r="AT47" s="127">
        <v>0</v>
      </c>
      <c r="AU47" s="123">
        <f t="shared" si="86"/>
        <v>0</v>
      </c>
      <c r="AW47" s="194"/>
      <c r="AX47" s="195" t="s">
        <v>6</v>
      </c>
      <c r="AY47" s="185"/>
      <c r="AZ47" s="126"/>
      <c r="BA47" s="127"/>
      <c r="BB47" s="127"/>
      <c r="BC47" s="127"/>
      <c r="BD47" s="127"/>
      <c r="BE47" s="127"/>
      <c r="BF47" s="127">
        <v>0</v>
      </c>
      <c r="BG47" s="196">
        <f t="shared" si="88"/>
        <v>0</v>
      </c>
      <c r="BI47" s="69" t="str">
        <f>IF(OR(K47&lt;0,W47&lt;0,AI47&lt;0,AU47&lt;0,BG47&lt;0),"!! Total must be &gt;= sum by situation",IF(OR(C47&lt;SUM(O47,AA47,AM47,AY47),D47&lt;SUM(P47,AB47,AN47,AZ47),E47&lt;SUM(Q47,AC47,AO47,BA47),F47&lt;SUM(R47,AD47,AP47,BB47),G47&lt;SUM(S47,AE47,AQ47,BC47),H47&lt;SUM(T47,AF47,AR47,BD47),I47&lt;SUM(U47,AG47,AS47,BE47),J47&lt;SUM(V47,AH47,AT47,BF47)),"!! Values in FU1 must be &gt;= sum of values in FU2 - FU5",""))</f>
        <v/>
      </c>
      <c r="BK47" s="265"/>
    </row>
    <row r="48" spans="1:63" x14ac:dyDescent="0.2">
      <c r="A48" s="194"/>
      <c r="B48" s="195" t="s">
        <v>7</v>
      </c>
      <c r="C48" s="185"/>
      <c r="D48" s="126"/>
      <c r="E48" s="126"/>
      <c r="F48" s="126"/>
      <c r="G48" s="126"/>
      <c r="H48" s="126"/>
      <c r="I48" s="126"/>
      <c r="J48" s="127">
        <v>0</v>
      </c>
      <c r="K48" s="196">
        <f t="shared" si="80"/>
        <v>0</v>
      </c>
      <c r="M48" s="194"/>
      <c r="N48" s="195" t="s">
        <v>7</v>
      </c>
      <c r="O48" s="185"/>
      <c r="P48" s="126"/>
      <c r="Q48" s="126"/>
      <c r="R48" s="126"/>
      <c r="S48" s="126"/>
      <c r="T48" s="126"/>
      <c r="U48" s="126"/>
      <c r="V48" s="127">
        <v>0</v>
      </c>
      <c r="W48" s="196">
        <f t="shared" si="82"/>
        <v>0</v>
      </c>
      <c r="Y48" s="2"/>
      <c r="Z48" s="6" t="s">
        <v>7</v>
      </c>
      <c r="AA48" s="125"/>
      <c r="AB48" s="126"/>
      <c r="AC48" s="127"/>
      <c r="AD48" s="127"/>
      <c r="AE48" s="127"/>
      <c r="AF48" s="127"/>
      <c r="AG48" s="127"/>
      <c r="AH48" s="127">
        <v>0</v>
      </c>
      <c r="AI48" s="123">
        <f t="shared" si="84"/>
        <v>0</v>
      </c>
      <c r="AK48" s="2"/>
      <c r="AL48" s="6" t="s">
        <v>7</v>
      </c>
      <c r="AM48" s="125"/>
      <c r="AN48" s="126"/>
      <c r="AO48" s="126"/>
      <c r="AP48" s="126"/>
      <c r="AQ48" s="126"/>
      <c r="AR48" s="126"/>
      <c r="AS48" s="126"/>
      <c r="AT48" s="127">
        <v>0</v>
      </c>
      <c r="AU48" s="123">
        <f t="shared" si="86"/>
        <v>0</v>
      </c>
      <c r="AW48" s="194"/>
      <c r="AX48" s="195" t="s">
        <v>7</v>
      </c>
      <c r="AY48" s="185"/>
      <c r="AZ48" s="126"/>
      <c r="BA48" s="126"/>
      <c r="BB48" s="126"/>
      <c r="BC48" s="126"/>
      <c r="BD48" s="126"/>
      <c r="BE48" s="126"/>
      <c r="BF48" s="127">
        <v>0</v>
      </c>
      <c r="BG48" s="196">
        <f t="shared" si="88"/>
        <v>0</v>
      </c>
      <c r="BI48" s="69" t="str">
        <f t="shared" ref="BI48:BI49" si="89">IF(OR(K48&lt;0,W48&lt;0,AI48&lt;0,AU48&lt;0,BG48&lt;0),"!! Total must be &gt;= sum by situation",IF(OR(C48&lt;SUM(O48,AA48,AM48,AY48),D48&lt;SUM(P48,AB48,AN48,AZ48),E48&lt;SUM(Q48,AC48,AO48,BA48),F48&lt;SUM(R48,AD48,AP48,BB48),G48&lt;SUM(S48,AE48,AQ48,BC48),H48&lt;SUM(T48,AF48,AR48,BD48),I48&lt;SUM(U48,AG48,AS48,BE48),J48&lt;SUM(V48,AH48,AT48,BF48)),"!! Values in FU1 must be &gt;= sum of values in FU2 - FU5",""))</f>
        <v/>
      </c>
      <c r="BK48" s="265"/>
    </row>
    <row r="49" spans="1:63" ht="16" thickBot="1" x14ac:dyDescent="0.25">
      <c r="A49" s="203"/>
      <c r="B49" s="195" t="s">
        <v>577</v>
      </c>
      <c r="C49" s="186"/>
      <c r="D49" s="128"/>
      <c r="E49" s="129"/>
      <c r="F49" s="129"/>
      <c r="G49" s="129"/>
      <c r="H49" s="129"/>
      <c r="I49" s="129"/>
      <c r="J49" s="129">
        <v>0</v>
      </c>
      <c r="K49" s="204">
        <f t="shared" si="80"/>
        <v>0</v>
      </c>
      <c r="M49" s="203"/>
      <c r="N49" s="195" t="s">
        <v>577</v>
      </c>
      <c r="O49" s="186"/>
      <c r="P49" s="128"/>
      <c r="Q49" s="129"/>
      <c r="R49" s="129"/>
      <c r="S49" s="129"/>
      <c r="T49" s="129"/>
      <c r="U49" s="129"/>
      <c r="V49" s="129">
        <v>0</v>
      </c>
      <c r="W49" s="204">
        <f t="shared" si="82"/>
        <v>0</v>
      </c>
      <c r="Y49" s="3"/>
      <c r="Z49" s="6" t="s">
        <v>577</v>
      </c>
      <c r="AA49" s="128"/>
      <c r="AB49" s="128"/>
      <c r="AC49" s="129"/>
      <c r="AD49" s="129"/>
      <c r="AE49" s="129"/>
      <c r="AF49" s="129"/>
      <c r="AG49" s="129"/>
      <c r="AH49" s="129">
        <v>0</v>
      </c>
      <c r="AI49" s="124">
        <f t="shared" si="84"/>
        <v>0</v>
      </c>
      <c r="AK49" s="3"/>
      <c r="AL49" s="6" t="s">
        <v>577</v>
      </c>
      <c r="AM49" s="128"/>
      <c r="AN49" s="128"/>
      <c r="AO49" s="129"/>
      <c r="AP49" s="129"/>
      <c r="AQ49" s="129"/>
      <c r="AR49" s="129"/>
      <c r="AS49" s="129"/>
      <c r="AT49" s="129">
        <v>0</v>
      </c>
      <c r="AU49" s="124">
        <f t="shared" si="86"/>
        <v>0</v>
      </c>
      <c r="AW49" s="203"/>
      <c r="AX49" s="195" t="s">
        <v>577</v>
      </c>
      <c r="AY49" s="186"/>
      <c r="AZ49" s="128"/>
      <c r="BA49" s="129"/>
      <c r="BB49" s="129"/>
      <c r="BC49" s="129"/>
      <c r="BD49" s="129"/>
      <c r="BE49" s="129"/>
      <c r="BF49" s="129">
        <v>0</v>
      </c>
      <c r="BG49" s="204">
        <f t="shared" si="88"/>
        <v>0</v>
      </c>
      <c r="BI49" s="69" t="str">
        <f t="shared" si="89"/>
        <v/>
      </c>
      <c r="BK49" s="265"/>
    </row>
    <row r="50" spans="1:63" ht="16" thickTop="1" x14ac:dyDescent="0.2">
      <c r="A50" s="197" t="s">
        <v>157</v>
      </c>
      <c r="B50" s="198"/>
      <c r="C50" s="160"/>
      <c r="D50" s="161"/>
      <c r="E50" s="162"/>
      <c r="F50" s="162"/>
      <c r="G50" s="162"/>
      <c r="H50" s="162"/>
      <c r="I50" s="162"/>
      <c r="J50" s="162"/>
      <c r="K50" s="193"/>
      <c r="M50" s="197" t="s">
        <v>157</v>
      </c>
      <c r="N50" s="198"/>
      <c r="O50" s="160"/>
      <c r="P50" s="161"/>
      <c r="Q50" s="162"/>
      <c r="R50" s="162"/>
      <c r="S50" s="162"/>
      <c r="T50" s="162"/>
      <c r="U50" s="162"/>
      <c r="V50" s="162"/>
      <c r="W50" s="193"/>
      <c r="Y50" s="116" t="s">
        <v>157</v>
      </c>
      <c r="Z50" s="117"/>
      <c r="AA50" s="160"/>
      <c r="AB50" s="161"/>
      <c r="AC50" s="162"/>
      <c r="AD50" s="162"/>
      <c r="AE50" s="162"/>
      <c r="AF50" s="162"/>
      <c r="AG50" s="162"/>
      <c r="AH50" s="162"/>
      <c r="AI50" s="32"/>
      <c r="AK50" s="116" t="s">
        <v>157</v>
      </c>
      <c r="AL50" s="117"/>
      <c r="AM50" s="160"/>
      <c r="AN50" s="161"/>
      <c r="AO50" s="162"/>
      <c r="AP50" s="162"/>
      <c r="AQ50" s="162"/>
      <c r="AR50" s="162"/>
      <c r="AS50" s="162"/>
      <c r="AT50" s="162"/>
      <c r="AU50" s="32"/>
      <c r="AW50" s="197" t="s">
        <v>157</v>
      </c>
      <c r="AX50" s="198"/>
      <c r="AY50" s="160"/>
      <c r="AZ50" s="161"/>
      <c r="BA50" s="162"/>
      <c r="BB50" s="162"/>
      <c r="BC50" s="162"/>
      <c r="BD50" s="162"/>
      <c r="BE50" s="162"/>
      <c r="BF50" s="162"/>
      <c r="BG50" s="193"/>
      <c r="BI50" s="69"/>
      <c r="BK50" s="265"/>
    </row>
    <row r="51" spans="1:63" ht="15" hidden="1" customHeight="1" x14ac:dyDescent="0.2">
      <c r="A51" s="200" t="str">
        <f>A50</f>
        <v>18 months after exit</v>
      </c>
      <c r="B51" s="201"/>
      <c r="C51" s="158"/>
      <c r="D51" s="158"/>
      <c r="E51" s="158"/>
      <c r="F51" s="158"/>
      <c r="G51" s="158"/>
      <c r="H51" s="158"/>
      <c r="I51" s="158"/>
      <c r="J51" s="159"/>
      <c r="K51" s="202" t="e">
        <f>#REF!</f>
        <v>#REF!</v>
      </c>
      <c r="M51" s="200" t="str">
        <f>M50</f>
        <v>18 months after exit</v>
      </c>
      <c r="N51" s="201"/>
      <c r="O51" s="158"/>
      <c r="P51" s="158"/>
      <c r="Q51" s="158"/>
      <c r="R51" s="158"/>
      <c r="S51" s="158"/>
      <c r="T51" s="158"/>
      <c r="U51" s="158"/>
      <c r="V51" s="159"/>
      <c r="W51" s="202" t="e">
        <f>#REF!</f>
        <v>#REF!</v>
      </c>
      <c r="Y51" s="14" t="str">
        <f>Y50</f>
        <v>18 months after exit</v>
      </c>
      <c r="Z51" s="15"/>
      <c r="AA51" s="158"/>
      <c r="AB51" s="158"/>
      <c r="AC51" s="158"/>
      <c r="AD51" s="158"/>
      <c r="AE51" s="158"/>
      <c r="AF51" s="158"/>
      <c r="AG51" s="158"/>
      <c r="AH51" s="159"/>
      <c r="AI51" s="34" t="e">
        <f>#REF!</f>
        <v>#REF!</v>
      </c>
      <c r="AK51" s="14" t="str">
        <f>AK50</f>
        <v>18 months after exit</v>
      </c>
      <c r="AL51" s="15"/>
      <c r="AM51" s="158"/>
      <c r="AN51" s="158"/>
      <c r="AO51" s="158"/>
      <c r="AP51" s="158"/>
      <c r="AQ51" s="158"/>
      <c r="AR51" s="158"/>
      <c r="AS51" s="158"/>
      <c r="AT51" s="159"/>
      <c r="AU51" s="34" t="e">
        <f>#REF!</f>
        <v>#REF!</v>
      </c>
      <c r="AW51" s="200" t="str">
        <f>AW50</f>
        <v>18 months after exit</v>
      </c>
      <c r="AX51" s="201"/>
      <c r="AY51" s="158"/>
      <c r="AZ51" s="158"/>
      <c r="BA51" s="158"/>
      <c r="BB51" s="158"/>
      <c r="BC51" s="158"/>
      <c r="BD51" s="158"/>
      <c r="BE51" s="158"/>
      <c r="BF51" s="159"/>
      <c r="BG51" s="202" t="e">
        <f>#REF!</f>
        <v>#REF!</v>
      </c>
      <c r="BI51" s="69"/>
      <c r="BK51" s="265"/>
    </row>
    <row r="52" spans="1:63" x14ac:dyDescent="0.2">
      <c r="A52" s="183" t="s">
        <v>97</v>
      </c>
      <c r="B52" s="179"/>
      <c r="C52" s="172" t="str">
        <f>C$18</f>
        <v>Total</v>
      </c>
      <c r="D52" s="180" t="str">
        <f>D$18</f>
        <v>Employment</v>
      </c>
      <c r="E52" s="180" t="str">
        <f t="shared" ref="E52:K52" si="90">E$18</f>
        <v>Education</v>
      </c>
      <c r="F52" s="180" t="str">
        <f t="shared" si="90"/>
        <v>Apprenticeship</v>
      </c>
      <c r="G52" s="180" t="str">
        <f t="shared" si="90"/>
        <v>Traineeship</v>
      </c>
      <c r="H52" s="180" t="str">
        <f t="shared" si="90"/>
        <v>Unemployment</v>
      </c>
      <c r="I52" s="180" t="str">
        <f t="shared" si="90"/>
        <v>Inactivity</v>
      </c>
      <c r="J52" s="180" t="str">
        <f t="shared" si="90"/>
        <v>Not applicable</v>
      </c>
      <c r="K52" s="182" t="str">
        <f t="shared" si="90"/>
        <v>Unknown</v>
      </c>
      <c r="M52" s="183" t="s">
        <v>97</v>
      </c>
      <c r="N52" s="179"/>
      <c r="O52" s="172" t="str">
        <f>O$18</f>
        <v>Total</v>
      </c>
      <c r="P52" s="180" t="str">
        <f>P$18</f>
        <v>Employment</v>
      </c>
      <c r="Q52" s="180" t="str">
        <f t="shared" ref="Q52:W52" si="91">Q$18</f>
        <v>Education</v>
      </c>
      <c r="R52" s="180" t="str">
        <f t="shared" si="91"/>
        <v>Apprenticeship</v>
      </c>
      <c r="S52" s="180" t="str">
        <f t="shared" si="91"/>
        <v>Traineeship</v>
      </c>
      <c r="T52" s="180" t="str">
        <f t="shared" si="91"/>
        <v>Unemployment</v>
      </c>
      <c r="U52" s="180" t="str">
        <f t="shared" si="91"/>
        <v>Inactivity</v>
      </c>
      <c r="V52" s="180" t="str">
        <f t="shared" si="91"/>
        <v>Not applicable</v>
      </c>
      <c r="W52" s="182" t="str">
        <f t="shared" si="91"/>
        <v>Unknown</v>
      </c>
      <c r="Y52" s="183" t="s">
        <v>97</v>
      </c>
      <c r="Z52" s="179"/>
      <c r="AA52" s="172" t="str">
        <f>AA$18</f>
        <v>Total</v>
      </c>
      <c r="AB52" s="180" t="str">
        <f>AB$18</f>
        <v>Employment</v>
      </c>
      <c r="AC52" s="180" t="str">
        <f t="shared" ref="AC52:AI52" si="92">AC$18</f>
        <v>Education</v>
      </c>
      <c r="AD52" s="180" t="str">
        <f t="shared" si="92"/>
        <v>Apprenticeship</v>
      </c>
      <c r="AE52" s="180" t="str">
        <f t="shared" si="92"/>
        <v>Traineeship</v>
      </c>
      <c r="AF52" s="180" t="str">
        <f t="shared" si="92"/>
        <v>Unemployment</v>
      </c>
      <c r="AG52" s="181" t="str">
        <f t="shared" si="92"/>
        <v>Inactivity</v>
      </c>
      <c r="AH52" s="181" t="str">
        <f t="shared" si="92"/>
        <v>Not applicable</v>
      </c>
      <c r="AI52" s="182" t="str">
        <f t="shared" si="92"/>
        <v>Unknown</v>
      </c>
      <c r="AK52" s="183" t="s">
        <v>97</v>
      </c>
      <c r="AL52" s="179"/>
      <c r="AM52" s="172" t="str">
        <f>AM$18</f>
        <v>Total</v>
      </c>
      <c r="AN52" s="180" t="str">
        <f>AN$18</f>
        <v>Employment</v>
      </c>
      <c r="AO52" s="180" t="str">
        <f t="shared" ref="AO52:AU52" si="93">AO$18</f>
        <v>Education</v>
      </c>
      <c r="AP52" s="180" t="str">
        <f t="shared" si="93"/>
        <v>Apprenticeship</v>
      </c>
      <c r="AQ52" s="180" t="str">
        <f t="shared" si="93"/>
        <v>Traineeship</v>
      </c>
      <c r="AR52" s="180" t="str">
        <f t="shared" si="93"/>
        <v>Unemployment</v>
      </c>
      <c r="AS52" s="180" t="str">
        <f t="shared" si="93"/>
        <v>Inactivity</v>
      </c>
      <c r="AT52" s="180" t="str">
        <f t="shared" si="93"/>
        <v>Not applicable</v>
      </c>
      <c r="AU52" s="182" t="str">
        <f t="shared" si="93"/>
        <v>Unknown</v>
      </c>
      <c r="AW52" s="183" t="s">
        <v>97</v>
      </c>
      <c r="AX52" s="179"/>
      <c r="AY52" s="172" t="str">
        <f>AY$18</f>
        <v>Total</v>
      </c>
      <c r="AZ52" s="180" t="str">
        <f>AZ$18</f>
        <v>Employment</v>
      </c>
      <c r="BA52" s="180" t="str">
        <f t="shared" ref="BA52:BG52" si="94">BA$18</f>
        <v>Education</v>
      </c>
      <c r="BB52" s="180" t="str">
        <f t="shared" si="94"/>
        <v>Apprenticeship</v>
      </c>
      <c r="BC52" s="180" t="str">
        <f t="shared" si="94"/>
        <v>Traineeship</v>
      </c>
      <c r="BD52" s="180" t="str">
        <f t="shared" si="94"/>
        <v>Unemployment</v>
      </c>
      <c r="BE52" s="180" t="str">
        <f t="shared" si="94"/>
        <v>Inactivity</v>
      </c>
      <c r="BF52" s="180" t="str">
        <f t="shared" si="94"/>
        <v>Not applicable</v>
      </c>
      <c r="BG52" s="182" t="str">
        <f t="shared" si="94"/>
        <v>Unknown</v>
      </c>
      <c r="BI52" s="69" t="str" cm="1">
        <f t="array" ref="BI52">IF(OR(SUM(IF(O53:W56&lt;(O58:W61+O63:W66),1,0)),SUM(IF(C53:K56&lt;(C58:K61+C63:K66),1,0)),SUM(IF(AA53:AI56&lt;(AA58:AI61+AA63:AI66),1,0)), SUM(IF(AM53:AU56&lt;(AM58:AU61+AM63:AU66),1,0)), SUM(IF(AY53:BG56&lt;(AY58:BG61+AY63:BG66),1,0))),"!! Check sum by sex for one or more columns/rows","")</f>
        <v/>
      </c>
      <c r="BK52" s="265"/>
    </row>
    <row r="53" spans="1:63" x14ac:dyDescent="0.2">
      <c r="A53" s="194"/>
      <c r="B53" s="195" t="s">
        <v>578</v>
      </c>
      <c r="C53" s="185"/>
      <c r="D53" s="126"/>
      <c r="E53" s="127"/>
      <c r="F53" s="127"/>
      <c r="G53" s="127"/>
      <c r="H53" s="127"/>
      <c r="I53" s="127"/>
      <c r="J53" s="127">
        <f t="shared" ref="J53" si="95">SUM(J54:J56)</f>
        <v>0</v>
      </c>
      <c r="K53" s="196">
        <f t="shared" ref="K53:K56" si="96">C53-SUM(D53:G53,H53:I53,J53)</f>
        <v>0</v>
      </c>
      <c r="M53" s="194"/>
      <c r="N53" s="195" t="s">
        <v>578</v>
      </c>
      <c r="O53" s="185"/>
      <c r="P53" s="126"/>
      <c r="Q53" s="127"/>
      <c r="R53" s="127"/>
      <c r="S53" s="127"/>
      <c r="T53" s="127"/>
      <c r="U53" s="127"/>
      <c r="V53" s="127">
        <f t="shared" ref="V53" si="97">SUM(V54:V56)</f>
        <v>0</v>
      </c>
      <c r="W53" s="196">
        <f t="shared" ref="W53:W56" si="98">O53-SUM(P53:S53,T53:U53,V53)</f>
        <v>0</v>
      </c>
      <c r="Y53" s="2"/>
      <c r="Z53" s="6" t="s">
        <v>578</v>
      </c>
      <c r="AA53" s="125"/>
      <c r="AB53" s="126"/>
      <c r="AC53" s="127"/>
      <c r="AD53" s="127"/>
      <c r="AE53" s="127"/>
      <c r="AF53" s="127"/>
      <c r="AG53" s="127"/>
      <c r="AH53" s="127">
        <f t="shared" ref="AH53" si="99">SUM(AH54:AH56)</f>
        <v>0</v>
      </c>
      <c r="AI53" s="123">
        <f t="shared" ref="AI53:AI56" si="100">AA53-SUM(AB53:AE53,AF53:AG53,AH53)</f>
        <v>0</v>
      </c>
      <c r="AK53" s="2"/>
      <c r="AL53" s="6" t="s">
        <v>578</v>
      </c>
      <c r="AM53" s="125"/>
      <c r="AN53" s="126"/>
      <c r="AO53" s="127"/>
      <c r="AP53" s="127"/>
      <c r="AQ53" s="127"/>
      <c r="AR53" s="127"/>
      <c r="AS53" s="127"/>
      <c r="AT53" s="127">
        <f t="shared" ref="AT53" si="101">SUM(AT54:AT56)</f>
        <v>0</v>
      </c>
      <c r="AU53" s="123">
        <f t="shared" ref="AU53:AU56" si="102">AM53-SUM(AN53:AQ53,AR53:AS53,AT53)</f>
        <v>0</v>
      </c>
      <c r="AW53" s="194"/>
      <c r="AX53" s="195" t="s">
        <v>578</v>
      </c>
      <c r="AY53" s="185"/>
      <c r="AZ53" s="126"/>
      <c r="BA53" s="127"/>
      <c r="BB53" s="127"/>
      <c r="BC53" s="127"/>
      <c r="BD53" s="127"/>
      <c r="BE53" s="127"/>
      <c r="BF53" s="127">
        <f t="shared" ref="BF53" si="103">SUM(BF54:BF56)</f>
        <v>0</v>
      </c>
      <c r="BG53" s="196">
        <f t="shared" ref="BG53:BG56" si="104">AY53-SUM(AZ53:BC53,BD53:BE53,BF53)</f>
        <v>0</v>
      </c>
      <c r="BI53" s="69" t="str">
        <f>IF(OR(K53&lt;0,W53&lt;0,AI53&lt;0,AU53&lt;0,BG53&lt;0),"!! Total must be &gt;= sum by situation",IF(OR(C53&lt;SUM(O53,AA53,AM53,AY53),D53&lt;SUM(P53,AB53,AN53,AZ53),E53&lt;SUM(Q53,AC53,AO53,BA53),F53&lt;SUM(R53,AD53,AP53,BB53),G53&lt;SUM(S53,AE53,AQ53,BC53),H53&lt;SUM(T53,AF53,AR53,BD53),I53&lt;SUM(U53,AG53,AS53,BE53),J53&lt;SUM(V53,AH53,AT53,BF53)),"!! Values in FU1 must be &gt;= sum of values in FU2 - FU5",""))</f>
        <v/>
      </c>
      <c r="BK53" s="265"/>
    </row>
    <row r="54" spans="1:63" x14ac:dyDescent="0.2">
      <c r="A54" s="194"/>
      <c r="B54" s="195" t="s">
        <v>6</v>
      </c>
      <c r="C54" s="185"/>
      <c r="D54" s="126"/>
      <c r="E54" s="127"/>
      <c r="F54" s="127"/>
      <c r="G54" s="127"/>
      <c r="H54" s="127"/>
      <c r="I54" s="127"/>
      <c r="J54" s="127">
        <v>0</v>
      </c>
      <c r="K54" s="196">
        <f t="shared" si="96"/>
        <v>0</v>
      </c>
      <c r="M54" s="194"/>
      <c r="N54" s="195" t="s">
        <v>6</v>
      </c>
      <c r="O54" s="185"/>
      <c r="P54" s="126"/>
      <c r="Q54" s="127"/>
      <c r="R54" s="127"/>
      <c r="S54" s="127"/>
      <c r="T54" s="127"/>
      <c r="U54" s="127"/>
      <c r="V54" s="127">
        <v>0</v>
      </c>
      <c r="W54" s="196">
        <f t="shared" si="98"/>
        <v>0</v>
      </c>
      <c r="Y54" s="2"/>
      <c r="Z54" s="6" t="s">
        <v>6</v>
      </c>
      <c r="AA54" s="125"/>
      <c r="AB54" s="126"/>
      <c r="AC54" s="127"/>
      <c r="AD54" s="127"/>
      <c r="AE54" s="127"/>
      <c r="AF54" s="127"/>
      <c r="AG54" s="127"/>
      <c r="AH54" s="127">
        <v>0</v>
      </c>
      <c r="AI54" s="123">
        <f t="shared" si="100"/>
        <v>0</v>
      </c>
      <c r="AK54" s="2"/>
      <c r="AL54" s="6" t="s">
        <v>6</v>
      </c>
      <c r="AM54" s="125"/>
      <c r="AN54" s="126"/>
      <c r="AO54" s="127"/>
      <c r="AP54" s="127"/>
      <c r="AQ54" s="127"/>
      <c r="AR54" s="127"/>
      <c r="AS54" s="127"/>
      <c r="AT54" s="127">
        <v>0</v>
      </c>
      <c r="AU54" s="123">
        <f t="shared" si="102"/>
        <v>0</v>
      </c>
      <c r="AW54" s="194"/>
      <c r="AX54" s="195" t="s">
        <v>6</v>
      </c>
      <c r="AY54" s="185"/>
      <c r="AZ54" s="126"/>
      <c r="BA54" s="127"/>
      <c r="BB54" s="127"/>
      <c r="BC54" s="127"/>
      <c r="BD54" s="127"/>
      <c r="BE54" s="127"/>
      <c r="BF54" s="127">
        <v>0</v>
      </c>
      <c r="BG54" s="196">
        <f t="shared" si="104"/>
        <v>0</v>
      </c>
      <c r="BI54" s="69" t="str">
        <f>IF(OR(K54&lt;0,W54&lt;0,AI54&lt;0,AU54&lt;0,BG54&lt;0),"!! Total must be &gt;= sum by situation",IF(OR(C54&lt;SUM(O54,AA54,AM54,AY54),D54&lt;SUM(P54,AB54,AN54,AZ54),E54&lt;SUM(Q54,AC54,AO54,BA54),F54&lt;SUM(R54,AD54,AP54,BB54),G54&lt;SUM(S54,AE54,AQ54,BC54),H54&lt;SUM(T54,AF54,AR54,BD54),I54&lt;SUM(U54,AG54,AS54,BE54),J54&lt;SUM(V54,AH54,AT54,BF54)),"!! Values in FU1 must be &gt;= sum of values in FU2 - FU5",""))</f>
        <v/>
      </c>
      <c r="BK54" s="265"/>
    </row>
    <row r="55" spans="1:63" x14ac:dyDescent="0.2">
      <c r="A55" s="194"/>
      <c r="B55" s="195" t="s">
        <v>7</v>
      </c>
      <c r="C55" s="185"/>
      <c r="D55" s="126"/>
      <c r="E55" s="126"/>
      <c r="F55" s="126"/>
      <c r="G55" s="126"/>
      <c r="H55" s="126"/>
      <c r="I55" s="126"/>
      <c r="J55" s="127">
        <v>0</v>
      </c>
      <c r="K55" s="196">
        <f t="shared" si="96"/>
        <v>0</v>
      </c>
      <c r="M55" s="194"/>
      <c r="N55" s="195" t="s">
        <v>7</v>
      </c>
      <c r="O55" s="185"/>
      <c r="P55" s="126"/>
      <c r="Q55" s="126"/>
      <c r="R55" s="126"/>
      <c r="S55" s="126"/>
      <c r="T55" s="126"/>
      <c r="U55" s="126"/>
      <c r="V55" s="127">
        <v>0</v>
      </c>
      <c r="W55" s="196">
        <f t="shared" si="98"/>
        <v>0</v>
      </c>
      <c r="Y55" s="2"/>
      <c r="Z55" s="6" t="s">
        <v>7</v>
      </c>
      <c r="AA55" s="125"/>
      <c r="AB55" s="126"/>
      <c r="AC55" s="127"/>
      <c r="AD55" s="127"/>
      <c r="AE55" s="127"/>
      <c r="AF55" s="127"/>
      <c r="AG55" s="127"/>
      <c r="AH55" s="127">
        <v>0</v>
      </c>
      <c r="AI55" s="123">
        <f t="shared" si="100"/>
        <v>0</v>
      </c>
      <c r="AK55" s="2"/>
      <c r="AL55" s="6" t="s">
        <v>7</v>
      </c>
      <c r="AM55" s="125"/>
      <c r="AN55" s="126"/>
      <c r="AO55" s="126"/>
      <c r="AP55" s="126"/>
      <c r="AQ55" s="126"/>
      <c r="AR55" s="126"/>
      <c r="AS55" s="126"/>
      <c r="AT55" s="127">
        <v>0</v>
      </c>
      <c r="AU55" s="123">
        <f t="shared" si="102"/>
        <v>0</v>
      </c>
      <c r="AW55" s="194"/>
      <c r="AX55" s="195" t="s">
        <v>7</v>
      </c>
      <c r="AY55" s="185"/>
      <c r="AZ55" s="126"/>
      <c r="BA55" s="126"/>
      <c r="BB55" s="126"/>
      <c r="BC55" s="126"/>
      <c r="BD55" s="126"/>
      <c r="BE55" s="126"/>
      <c r="BF55" s="127">
        <v>0</v>
      </c>
      <c r="BG55" s="196">
        <f t="shared" si="104"/>
        <v>0</v>
      </c>
      <c r="BI55" s="69" t="str">
        <f t="shared" ref="BI55:BI56" si="105">IF(OR(K55&lt;0,W55&lt;0,AI55&lt;0,AU55&lt;0,BG55&lt;0),"!! Total must be &gt;= sum by situation",IF(OR(C55&lt;SUM(O55,AA55,AM55,AY55),D55&lt;SUM(P55,AB55,AN55,AZ55),E55&lt;SUM(Q55,AC55,AO55,BA55),F55&lt;SUM(R55,AD55,AP55,BB55),G55&lt;SUM(S55,AE55,AQ55,BC55),H55&lt;SUM(T55,AF55,AR55,BD55),I55&lt;SUM(U55,AG55,AS55,BE55),J55&lt;SUM(V55,AH55,AT55,BF55)),"!! Values in FU1 must be &gt;= sum of values in FU2 - FU5",""))</f>
        <v/>
      </c>
      <c r="BK55" s="265"/>
    </row>
    <row r="56" spans="1:63" x14ac:dyDescent="0.2">
      <c r="A56" s="194"/>
      <c r="B56" s="195" t="s">
        <v>577</v>
      </c>
      <c r="C56" s="185"/>
      <c r="D56" s="126"/>
      <c r="E56" s="127"/>
      <c r="F56" s="127"/>
      <c r="G56" s="127"/>
      <c r="H56" s="127"/>
      <c r="I56" s="127"/>
      <c r="J56" s="127">
        <v>0</v>
      </c>
      <c r="K56" s="196">
        <f t="shared" si="96"/>
        <v>0</v>
      </c>
      <c r="M56" s="194"/>
      <c r="N56" s="195" t="s">
        <v>577</v>
      </c>
      <c r="O56" s="185"/>
      <c r="P56" s="126"/>
      <c r="Q56" s="127"/>
      <c r="R56" s="127"/>
      <c r="S56" s="127"/>
      <c r="T56" s="127"/>
      <c r="U56" s="127"/>
      <c r="V56" s="127">
        <v>0</v>
      </c>
      <c r="W56" s="196">
        <f t="shared" si="98"/>
        <v>0</v>
      </c>
      <c r="Y56" s="2"/>
      <c r="Z56" s="6" t="s">
        <v>577</v>
      </c>
      <c r="AA56" s="125"/>
      <c r="AB56" s="126"/>
      <c r="AC56" s="127"/>
      <c r="AD56" s="127"/>
      <c r="AE56" s="127"/>
      <c r="AF56" s="127"/>
      <c r="AG56" s="127"/>
      <c r="AH56" s="127">
        <v>0</v>
      </c>
      <c r="AI56" s="123">
        <f t="shared" si="100"/>
        <v>0</v>
      </c>
      <c r="AK56" s="2"/>
      <c r="AL56" s="6" t="s">
        <v>577</v>
      </c>
      <c r="AM56" s="125"/>
      <c r="AN56" s="126"/>
      <c r="AO56" s="127"/>
      <c r="AP56" s="127"/>
      <c r="AQ56" s="127"/>
      <c r="AR56" s="127"/>
      <c r="AS56" s="127"/>
      <c r="AT56" s="127">
        <v>0</v>
      </c>
      <c r="AU56" s="123">
        <f t="shared" si="102"/>
        <v>0</v>
      </c>
      <c r="AW56" s="194"/>
      <c r="AX56" s="195" t="s">
        <v>577</v>
      </c>
      <c r="AY56" s="185"/>
      <c r="AZ56" s="126"/>
      <c r="BA56" s="127"/>
      <c r="BB56" s="127"/>
      <c r="BC56" s="127"/>
      <c r="BD56" s="127"/>
      <c r="BE56" s="127"/>
      <c r="BF56" s="127">
        <v>0</v>
      </c>
      <c r="BG56" s="196">
        <f t="shared" si="104"/>
        <v>0</v>
      </c>
      <c r="BI56" s="69" t="str">
        <f t="shared" si="105"/>
        <v/>
      </c>
      <c r="BK56" s="265"/>
    </row>
    <row r="57" spans="1:63" x14ac:dyDescent="0.2">
      <c r="A57" s="183" t="s">
        <v>4</v>
      </c>
      <c r="B57" s="179"/>
      <c r="C57" s="172" t="str">
        <f>C$18</f>
        <v>Total</v>
      </c>
      <c r="D57" s="180" t="str">
        <f t="shared" ref="D57:K57" si="106">D$18</f>
        <v>Employment</v>
      </c>
      <c r="E57" s="180" t="str">
        <f t="shared" si="106"/>
        <v>Education</v>
      </c>
      <c r="F57" s="180" t="str">
        <f t="shared" si="106"/>
        <v>Apprenticeship</v>
      </c>
      <c r="G57" s="180" t="str">
        <f t="shared" si="106"/>
        <v>Traineeship</v>
      </c>
      <c r="H57" s="180" t="str">
        <f t="shared" si="106"/>
        <v>Unemployment</v>
      </c>
      <c r="I57" s="180" t="str">
        <f t="shared" si="106"/>
        <v>Inactivity</v>
      </c>
      <c r="J57" s="180" t="str">
        <f t="shared" si="106"/>
        <v>Not applicable</v>
      </c>
      <c r="K57" s="182" t="str">
        <f t="shared" si="106"/>
        <v>Unknown</v>
      </c>
      <c r="M57" s="183" t="s">
        <v>4</v>
      </c>
      <c r="N57" s="179"/>
      <c r="O57" s="172" t="str">
        <f>O$18</f>
        <v>Total</v>
      </c>
      <c r="P57" s="180" t="str">
        <f t="shared" ref="P57:W57" si="107">P$18</f>
        <v>Employment</v>
      </c>
      <c r="Q57" s="180" t="str">
        <f t="shared" si="107"/>
        <v>Education</v>
      </c>
      <c r="R57" s="180" t="str">
        <f t="shared" si="107"/>
        <v>Apprenticeship</v>
      </c>
      <c r="S57" s="180" t="str">
        <f t="shared" si="107"/>
        <v>Traineeship</v>
      </c>
      <c r="T57" s="180" t="str">
        <f t="shared" si="107"/>
        <v>Unemployment</v>
      </c>
      <c r="U57" s="180" t="str">
        <f t="shared" si="107"/>
        <v>Inactivity</v>
      </c>
      <c r="V57" s="180" t="str">
        <f t="shared" si="107"/>
        <v>Not applicable</v>
      </c>
      <c r="W57" s="182" t="str">
        <f t="shared" si="107"/>
        <v>Unknown</v>
      </c>
      <c r="Y57" s="183" t="s">
        <v>4</v>
      </c>
      <c r="Z57" s="179"/>
      <c r="AA57" s="172" t="str">
        <f>AA$18</f>
        <v>Total</v>
      </c>
      <c r="AB57" s="180" t="str">
        <f t="shared" ref="AB57:AI57" si="108">AB$18</f>
        <v>Employment</v>
      </c>
      <c r="AC57" s="180" t="str">
        <f t="shared" si="108"/>
        <v>Education</v>
      </c>
      <c r="AD57" s="180" t="str">
        <f t="shared" si="108"/>
        <v>Apprenticeship</v>
      </c>
      <c r="AE57" s="180" t="str">
        <f t="shared" si="108"/>
        <v>Traineeship</v>
      </c>
      <c r="AF57" s="180" t="str">
        <f t="shared" si="108"/>
        <v>Unemployment</v>
      </c>
      <c r="AG57" s="181" t="str">
        <f t="shared" si="108"/>
        <v>Inactivity</v>
      </c>
      <c r="AH57" s="181" t="str">
        <f t="shared" si="108"/>
        <v>Not applicable</v>
      </c>
      <c r="AI57" s="182" t="str">
        <f t="shared" si="108"/>
        <v>Unknown</v>
      </c>
      <c r="AK57" s="183" t="s">
        <v>4</v>
      </c>
      <c r="AL57" s="179"/>
      <c r="AM57" s="172" t="str">
        <f>AM$18</f>
        <v>Total</v>
      </c>
      <c r="AN57" s="180" t="str">
        <f t="shared" ref="AN57:AU57" si="109">AN$18</f>
        <v>Employment</v>
      </c>
      <c r="AO57" s="180" t="str">
        <f t="shared" si="109"/>
        <v>Education</v>
      </c>
      <c r="AP57" s="180" t="str">
        <f t="shared" si="109"/>
        <v>Apprenticeship</v>
      </c>
      <c r="AQ57" s="180" t="str">
        <f t="shared" si="109"/>
        <v>Traineeship</v>
      </c>
      <c r="AR57" s="180" t="str">
        <f t="shared" si="109"/>
        <v>Unemployment</v>
      </c>
      <c r="AS57" s="180" t="str">
        <f t="shared" si="109"/>
        <v>Inactivity</v>
      </c>
      <c r="AT57" s="180" t="str">
        <f t="shared" si="109"/>
        <v>Not applicable</v>
      </c>
      <c r="AU57" s="182" t="str">
        <f t="shared" si="109"/>
        <v>Unknown</v>
      </c>
      <c r="AW57" s="183" t="s">
        <v>4</v>
      </c>
      <c r="AX57" s="179"/>
      <c r="AY57" s="172" t="str">
        <f>AY$18</f>
        <v>Total</v>
      </c>
      <c r="AZ57" s="180" t="str">
        <f t="shared" ref="AZ57:BG57" si="110">AZ$18</f>
        <v>Employment</v>
      </c>
      <c r="BA57" s="180" t="str">
        <f t="shared" si="110"/>
        <v>Education</v>
      </c>
      <c r="BB57" s="180" t="str">
        <f t="shared" si="110"/>
        <v>Apprenticeship</v>
      </c>
      <c r="BC57" s="180" t="str">
        <f t="shared" si="110"/>
        <v>Traineeship</v>
      </c>
      <c r="BD57" s="180" t="str">
        <f t="shared" si="110"/>
        <v>Unemployment</v>
      </c>
      <c r="BE57" s="180" t="str">
        <f t="shared" si="110"/>
        <v>Inactivity</v>
      </c>
      <c r="BF57" s="180" t="str">
        <f t="shared" si="110"/>
        <v>Not applicable</v>
      </c>
      <c r="BG57" s="182" t="str">
        <f t="shared" si="110"/>
        <v>Unknown</v>
      </c>
      <c r="BI57" s="69"/>
      <c r="BK57" s="265"/>
    </row>
    <row r="58" spans="1:63" x14ac:dyDescent="0.2">
      <c r="A58" s="194"/>
      <c r="B58" s="195" t="s">
        <v>578</v>
      </c>
      <c r="C58" s="185"/>
      <c r="D58" s="126"/>
      <c r="E58" s="127"/>
      <c r="F58" s="127"/>
      <c r="G58" s="127"/>
      <c r="H58" s="127"/>
      <c r="I58" s="127"/>
      <c r="J58" s="127">
        <f t="shared" ref="J58" si="111">SUM(J59:J61)</f>
        <v>0</v>
      </c>
      <c r="K58" s="196">
        <f t="shared" ref="K58:K61" si="112">C58-SUM(D58:G58,H58:I58,J58)</f>
        <v>0</v>
      </c>
      <c r="M58" s="194"/>
      <c r="N58" s="195" t="s">
        <v>578</v>
      </c>
      <c r="O58" s="185"/>
      <c r="P58" s="126"/>
      <c r="Q58" s="127"/>
      <c r="R58" s="127"/>
      <c r="S58" s="127"/>
      <c r="T58" s="127"/>
      <c r="U58" s="127"/>
      <c r="V58" s="127">
        <f t="shared" ref="V58" si="113">SUM(V59:V61)</f>
        <v>0</v>
      </c>
      <c r="W58" s="196">
        <f t="shared" ref="W58:W61" si="114">O58-SUM(P58:S58,T58:U58,V58)</f>
        <v>0</v>
      </c>
      <c r="Y58" s="2"/>
      <c r="Z58" s="6" t="s">
        <v>578</v>
      </c>
      <c r="AA58" s="125"/>
      <c r="AB58" s="126"/>
      <c r="AC58" s="127"/>
      <c r="AD58" s="127"/>
      <c r="AE58" s="127"/>
      <c r="AF58" s="127"/>
      <c r="AG58" s="127"/>
      <c r="AH58" s="127">
        <f t="shared" ref="AH58" si="115">SUM(AH59:AH61)</f>
        <v>0</v>
      </c>
      <c r="AI58" s="123">
        <f t="shared" ref="AI58:AI61" si="116">AA58-SUM(AB58:AE58,AF58:AG58,AH58)</f>
        <v>0</v>
      </c>
      <c r="AK58" s="2"/>
      <c r="AL58" s="6" t="s">
        <v>578</v>
      </c>
      <c r="AM58" s="125"/>
      <c r="AN58" s="126"/>
      <c r="AO58" s="127"/>
      <c r="AP58" s="127"/>
      <c r="AQ58" s="127"/>
      <c r="AR58" s="127"/>
      <c r="AS58" s="127"/>
      <c r="AT58" s="127">
        <f t="shared" ref="AT58" si="117">SUM(AT59:AT61)</f>
        <v>0</v>
      </c>
      <c r="AU58" s="123">
        <f t="shared" ref="AU58:AU61" si="118">AM58-SUM(AN58:AQ58,AR58:AS58,AT58)</f>
        <v>0</v>
      </c>
      <c r="AW58" s="194"/>
      <c r="AX58" s="195" t="s">
        <v>578</v>
      </c>
      <c r="AY58" s="185"/>
      <c r="AZ58" s="126"/>
      <c r="BA58" s="127"/>
      <c r="BB58" s="127"/>
      <c r="BC58" s="127"/>
      <c r="BD58" s="127"/>
      <c r="BE58" s="127"/>
      <c r="BF58" s="127">
        <f t="shared" ref="BF58" si="119">SUM(BF59:BF61)</f>
        <v>0</v>
      </c>
      <c r="BG58" s="196">
        <f t="shared" ref="BG58:BG61" si="120">AY58-SUM(AZ58:BC58,BD58:BE58,BF58)</f>
        <v>0</v>
      </c>
      <c r="BI58" s="69" t="str">
        <f>IF(OR(K58&lt;0,W58&lt;0,AI58&lt;0,AU58&lt;0,BG58&lt;0),"!! Total must be &gt;= sum by situation",IF(OR(C58&lt;SUM(O58,AA58,AM58,AY58),D58&lt;SUM(P58,AB58,AN58,AZ58),E58&lt;SUM(Q58,AC58,AO58,BA58),F58&lt;SUM(R58,AD58,AP58,BB58),G58&lt;SUM(S58,AE58,AQ58,BC58),H58&lt;SUM(T58,AF58,AR58,BD58),I58&lt;SUM(U58,AG58,AS58,BE58),J58&lt;SUM(V58,AH58,AT58,BF58)),"!! Values in FU1 must be &gt;= sum of values in FU2 - FU5",""))</f>
        <v/>
      </c>
      <c r="BK58" s="265"/>
    </row>
    <row r="59" spans="1:63" x14ac:dyDescent="0.2">
      <c r="A59" s="194"/>
      <c r="B59" s="195" t="s">
        <v>6</v>
      </c>
      <c r="C59" s="185"/>
      <c r="D59" s="126"/>
      <c r="E59" s="127"/>
      <c r="F59" s="127"/>
      <c r="G59" s="127"/>
      <c r="H59" s="127"/>
      <c r="I59" s="127"/>
      <c r="J59" s="127">
        <v>0</v>
      </c>
      <c r="K59" s="196">
        <f t="shared" si="112"/>
        <v>0</v>
      </c>
      <c r="M59" s="194"/>
      <c r="N59" s="195" t="s">
        <v>6</v>
      </c>
      <c r="O59" s="185"/>
      <c r="P59" s="126"/>
      <c r="Q59" s="127"/>
      <c r="R59" s="127"/>
      <c r="S59" s="127"/>
      <c r="T59" s="127"/>
      <c r="U59" s="127"/>
      <c r="V59" s="127">
        <v>0</v>
      </c>
      <c r="W59" s="196">
        <f t="shared" si="114"/>
        <v>0</v>
      </c>
      <c r="Y59" s="2"/>
      <c r="Z59" s="6" t="s">
        <v>6</v>
      </c>
      <c r="AA59" s="125"/>
      <c r="AB59" s="126"/>
      <c r="AC59" s="127"/>
      <c r="AD59" s="127"/>
      <c r="AE59" s="127"/>
      <c r="AF59" s="127"/>
      <c r="AG59" s="127"/>
      <c r="AH59" s="127">
        <v>0</v>
      </c>
      <c r="AI59" s="123">
        <f t="shared" si="116"/>
        <v>0</v>
      </c>
      <c r="AK59" s="2"/>
      <c r="AL59" s="6" t="s">
        <v>6</v>
      </c>
      <c r="AM59" s="125"/>
      <c r="AN59" s="126"/>
      <c r="AO59" s="127"/>
      <c r="AP59" s="127"/>
      <c r="AQ59" s="127"/>
      <c r="AR59" s="127"/>
      <c r="AS59" s="127"/>
      <c r="AT59" s="127">
        <v>0</v>
      </c>
      <c r="AU59" s="123">
        <f t="shared" si="118"/>
        <v>0</v>
      </c>
      <c r="AW59" s="194"/>
      <c r="AX59" s="195" t="s">
        <v>6</v>
      </c>
      <c r="AY59" s="185"/>
      <c r="AZ59" s="126"/>
      <c r="BA59" s="127"/>
      <c r="BB59" s="127"/>
      <c r="BC59" s="127"/>
      <c r="BD59" s="127"/>
      <c r="BE59" s="127"/>
      <c r="BF59" s="127">
        <v>0</v>
      </c>
      <c r="BG59" s="196">
        <f t="shared" si="120"/>
        <v>0</v>
      </c>
      <c r="BI59" s="69" t="str">
        <f>IF(OR(K59&lt;0,W59&lt;0,AI59&lt;0,AU59&lt;0,BG59&lt;0),"!! Total must be &gt;= sum by situation",IF(OR(C59&lt;SUM(O59,AA59,AM59,AY59),D59&lt;SUM(P59,AB59,AN59,AZ59),E59&lt;SUM(Q59,AC59,AO59,BA59),F59&lt;SUM(R59,AD59,AP59,BB59),G59&lt;SUM(S59,AE59,AQ59,BC59),H59&lt;SUM(T59,AF59,AR59,BD59),I59&lt;SUM(U59,AG59,AS59,BE59),J59&lt;SUM(V59,AH59,AT59,BF59)),"!! Values in FU1 must be &gt;= sum of values in FU2 - FU5",""))</f>
        <v/>
      </c>
      <c r="BK59" s="265"/>
    </row>
    <row r="60" spans="1:63" x14ac:dyDescent="0.2">
      <c r="A60" s="194"/>
      <c r="B60" s="195" t="s">
        <v>7</v>
      </c>
      <c r="C60" s="185"/>
      <c r="D60" s="126"/>
      <c r="E60" s="126"/>
      <c r="F60" s="126"/>
      <c r="G60" s="126"/>
      <c r="H60" s="126"/>
      <c r="I60" s="126"/>
      <c r="J60" s="127">
        <v>0</v>
      </c>
      <c r="K60" s="196">
        <f t="shared" si="112"/>
        <v>0</v>
      </c>
      <c r="M60" s="194"/>
      <c r="N60" s="195" t="s">
        <v>7</v>
      </c>
      <c r="O60" s="185"/>
      <c r="P60" s="126"/>
      <c r="Q60" s="126"/>
      <c r="R60" s="126"/>
      <c r="S60" s="126"/>
      <c r="T60" s="126"/>
      <c r="U60" s="126"/>
      <c r="V60" s="127">
        <v>0</v>
      </c>
      <c r="W60" s="196">
        <f t="shared" si="114"/>
        <v>0</v>
      </c>
      <c r="Y60" s="2"/>
      <c r="Z60" s="6" t="s">
        <v>7</v>
      </c>
      <c r="AA60" s="125"/>
      <c r="AB60" s="126"/>
      <c r="AC60" s="127"/>
      <c r="AD60" s="127"/>
      <c r="AE60" s="127"/>
      <c r="AF60" s="127"/>
      <c r="AG60" s="127"/>
      <c r="AH60" s="127">
        <v>0</v>
      </c>
      <c r="AI60" s="123">
        <f t="shared" si="116"/>
        <v>0</v>
      </c>
      <c r="AK60" s="2"/>
      <c r="AL60" s="6" t="s">
        <v>7</v>
      </c>
      <c r="AM60" s="125"/>
      <c r="AN60" s="126"/>
      <c r="AO60" s="126"/>
      <c r="AP60" s="126"/>
      <c r="AQ60" s="126"/>
      <c r="AR60" s="126"/>
      <c r="AS60" s="126"/>
      <c r="AT60" s="127">
        <v>0</v>
      </c>
      <c r="AU60" s="123">
        <f t="shared" si="118"/>
        <v>0</v>
      </c>
      <c r="AW60" s="194"/>
      <c r="AX60" s="195" t="s">
        <v>7</v>
      </c>
      <c r="AY60" s="185"/>
      <c r="AZ60" s="126"/>
      <c r="BA60" s="126"/>
      <c r="BB60" s="126"/>
      <c r="BC60" s="126"/>
      <c r="BD60" s="126"/>
      <c r="BE60" s="126"/>
      <c r="BF60" s="127">
        <v>0</v>
      </c>
      <c r="BG60" s="196">
        <f t="shared" si="120"/>
        <v>0</v>
      </c>
      <c r="BI60" s="69" t="str">
        <f t="shared" ref="BI60:BI61" si="121">IF(OR(K60&lt;0,W60&lt;0,AI60&lt;0,AU60&lt;0,BG60&lt;0),"!! Total must be &gt;= sum by situation",IF(OR(C60&lt;SUM(O60,AA60,AM60,AY60),D60&lt;SUM(P60,AB60,AN60,AZ60),E60&lt;SUM(Q60,AC60,AO60,BA60),F60&lt;SUM(R60,AD60,AP60,BB60),G60&lt;SUM(S60,AE60,AQ60,BC60),H60&lt;SUM(T60,AF60,AR60,BD60),I60&lt;SUM(U60,AG60,AS60,BE60),J60&lt;SUM(V60,AH60,AT60,BF60)),"!! Values in FU1 must be &gt;= sum of values in FU2 - FU5",""))</f>
        <v/>
      </c>
      <c r="BK60" s="265"/>
    </row>
    <row r="61" spans="1:63" x14ac:dyDescent="0.2">
      <c r="A61" s="194"/>
      <c r="B61" s="195" t="s">
        <v>577</v>
      </c>
      <c r="C61" s="185"/>
      <c r="D61" s="126"/>
      <c r="E61" s="127"/>
      <c r="F61" s="127"/>
      <c r="G61" s="127"/>
      <c r="H61" s="127"/>
      <c r="I61" s="127"/>
      <c r="J61" s="127">
        <v>0</v>
      </c>
      <c r="K61" s="196">
        <f t="shared" si="112"/>
        <v>0</v>
      </c>
      <c r="M61" s="194"/>
      <c r="N61" s="195" t="s">
        <v>577</v>
      </c>
      <c r="O61" s="185"/>
      <c r="P61" s="126"/>
      <c r="Q61" s="127"/>
      <c r="R61" s="127"/>
      <c r="S61" s="127"/>
      <c r="T61" s="127"/>
      <c r="U61" s="127"/>
      <c r="V61" s="127">
        <v>0</v>
      </c>
      <c r="W61" s="196">
        <f t="shared" si="114"/>
        <v>0</v>
      </c>
      <c r="Y61" s="2"/>
      <c r="Z61" s="6" t="s">
        <v>577</v>
      </c>
      <c r="AA61" s="125"/>
      <c r="AB61" s="126"/>
      <c r="AC61" s="127"/>
      <c r="AD61" s="127"/>
      <c r="AE61" s="127"/>
      <c r="AF61" s="127"/>
      <c r="AG61" s="127"/>
      <c r="AH61" s="127">
        <v>0</v>
      </c>
      <c r="AI61" s="123">
        <f t="shared" si="116"/>
        <v>0</v>
      </c>
      <c r="AK61" s="2"/>
      <c r="AL61" s="6" t="s">
        <v>577</v>
      </c>
      <c r="AM61" s="125"/>
      <c r="AN61" s="126"/>
      <c r="AO61" s="127"/>
      <c r="AP61" s="127"/>
      <c r="AQ61" s="127"/>
      <c r="AR61" s="127"/>
      <c r="AS61" s="127"/>
      <c r="AT61" s="127">
        <v>0</v>
      </c>
      <c r="AU61" s="123">
        <f t="shared" si="118"/>
        <v>0</v>
      </c>
      <c r="AW61" s="194"/>
      <c r="AX61" s="195" t="s">
        <v>577</v>
      </c>
      <c r="AY61" s="185"/>
      <c r="AZ61" s="126"/>
      <c r="BA61" s="127"/>
      <c r="BB61" s="127"/>
      <c r="BC61" s="127"/>
      <c r="BD61" s="127"/>
      <c r="BE61" s="127"/>
      <c r="BF61" s="127">
        <v>0</v>
      </c>
      <c r="BG61" s="196">
        <f t="shared" si="120"/>
        <v>0</v>
      </c>
      <c r="BI61" s="69" t="str">
        <f t="shared" si="121"/>
        <v/>
      </c>
      <c r="BK61" s="265"/>
    </row>
    <row r="62" spans="1:63" x14ac:dyDescent="0.2">
      <c r="A62" s="183" t="s">
        <v>5</v>
      </c>
      <c r="B62" s="179"/>
      <c r="C62" s="172" t="str">
        <f>C$18</f>
        <v>Total</v>
      </c>
      <c r="D62" s="180" t="str">
        <f t="shared" ref="D62:K62" si="122">D$18</f>
        <v>Employment</v>
      </c>
      <c r="E62" s="180" t="str">
        <f t="shared" si="122"/>
        <v>Education</v>
      </c>
      <c r="F62" s="180" t="str">
        <f t="shared" si="122"/>
        <v>Apprenticeship</v>
      </c>
      <c r="G62" s="180" t="str">
        <f t="shared" si="122"/>
        <v>Traineeship</v>
      </c>
      <c r="H62" s="180" t="str">
        <f t="shared" si="122"/>
        <v>Unemployment</v>
      </c>
      <c r="I62" s="180" t="str">
        <f t="shared" si="122"/>
        <v>Inactivity</v>
      </c>
      <c r="J62" s="180" t="str">
        <f t="shared" si="122"/>
        <v>Not applicable</v>
      </c>
      <c r="K62" s="182" t="str">
        <f t="shared" si="122"/>
        <v>Unknown</v>
      </c>
      <c r="M62" s="183" t="s">
        <v>5</v>
      </c>
      <c r="N62" s="179"/>
      <c r="O62" s="172" t="str">
        <f>O$18</f>
        <v>Total</v>
      </c>
      <c r="P62" s="180" t="str">
        <f t="shared" ref="P62:W62" si="123">P$18</f>
        <v>Employment</v>
      </c>
      <c r="Q62" s="180" t="str">
        <f t="shared" si="123"/>
        <v>Education</v>
      </c>
      <c r="R62" s="180" t="str">
        <f t="shared" si="123"/>
        <v>Apprenticeship</v>
      </c>
      <c r="S62" s="180" t="str">
        <f t="shared" si="123"/>
        <v>Traineeship</v>
      </c>
      <c r="T62" s="180" t="str">
        <f t="shared" si="123"/>
        <v>Unemployment</v>
      </c>
      <c r="U62" s="180" t="str">
        <f t="shared" si="123"/>
        <v>Inactivity</v>
      </c>
      <c r="V62" s="180" t="str">
        <f t="shared" si="123"/>
        <v>Not applicable</v>
      </c>
      <c r="W62" s="182" t="str">
        <f t="shared" si="123"/>
        <v>Unknown</v>
      </c>
      <c r="Y62" s="183" t="s">
        <v>5</v>
      </c>
      <c r="Z62" s="179"/>
      <c r="AA62" s="172" t="str">
        <f>AA$18</f>
        <v>Total</v>
      </c>
      <c r="AB62" s="180" t="str">
        <f t="shared" ref="AB62:AI62" si="124">AB$18</f>
        <v>Employment</v>
      </c>
      <c r="AC62" s="180" t="str">
        <f t="shared" si="124"/>
        <v>Education</v>
      </c>
      <c r="AD62" s="180" t="str">
        <f t="shared" si="124"/>
        <v>Apprenticeship</v>
      </c>
      <c r="AE62" s="180" t="str">
        <f t="shared" si="124"/>
        <v>Traineeship</v>
      </c>
      <c r="AF62" s="180" t="str">
        <f t="shared" si="124"/>
        <v>Unemployment</v>
      </c>
      <c r="AG62" s="181" t="str">
        <f t="shared" si="124"/>
        <v>Inactivity</v>
      </c>
      <c r="AH62" s="181" t="str">
        <f t="shared" si="124"/>
        <v>Not applicable</v>
      </c>
      <c r="AI62" s="182" t="str">
        <f t="shared" si="124"/>
        <v>Unknown</v>
      </c>
      <c r="AK62" s="183" t="s">
        <v>5</v>
      </c>
      <c r="AL62" s="179"/>
      <c r="AM62" s="172" t="str">
        <f>AM$18</f>
        <v>Total</v>
      </c>
      <c r="AN62" s="180" t="str">
        <f t="shared" ref="AN62:AU62" si="125">AN$18</f>
        <v>Employment</v>
      </c>
      <c r="AO62" s="180" t="str">
        <f t="shared" si="125"/>
        <v>Education</v>
      </c>
      <c r="AP62" s="180" t="str">
        <f t="shared" si="125"/>
        <v>Apprenticeship</v>
      </c>
      <c r="AQ62" s="180" t="str">
        <f t="shared" si="125"/>
        <v>Traineeship</v>
      </c>
      <c r="AR62" s="180" t="str">
        <f t="shared" si="125"/>
        <v>Unemployment</v>
      </c>
      <c r="AS62" s="180" t="str">
        <f t="shared" si="125"/>
        <v>Inactivity</v>
      </c>
      <c r="AT62" s="180" t="str">
        <f t="shared" si="125"/>
        <v>Not applicable</v>
      </c>
      <c r="AU62" s="182" t="str">
        <f t="shared" si="125"/>
        <v>Unknown</v>
      </c>
      <c r="AW62" s="183" t="s">
        <v>5</v>
      </c>
      <c r="AX62" s="179"/>
      <c r="AY62" s="172" t="str">
        <f>AY$18</f>
        <v>Total</v>
      </c>
      <c r="AZ62" s="180" t="str">
        <f t="shared" ref="AZ62:BG62" si="126">AZ$18</f>
        <v>Employment</v>
      </c>
      <c r="BA62" s="180" t="str">
        <f t="shared" si="126"/>
        <v>Education</v>
      </c>
      <c r="BB62" s="180" t="str">
        <f t="shared" si="126"/>
        <v>Apprenticeship</v>
      </c>
      <c r="BC62" s="180" t="str">
        <f t="shared" si="126"/>
        <v>Traineeship</v>
      </c>
      <c r="BD62" s="180" t="str">
        <f t="shared" si="126"/>
        <v>Unemployment</v>
      </c>
      <c r="BE62" s="180" t="str">
        <f t="shared" si="126"/>
        <v>Inactivity</v>
      </c>
      <c r="BF62" s="180" t="str">
        <f t="shared" si="126"/>
        <v>Not applicable</v>
      </c>
      <c r="BG62" s="182" t="str">
        <f t="shared" si="126"/>
        <v>Unknown</v>
      </c>
      <c r="BI62" s="69"/>
      <c r="BK62" s="265"/>
    </row>
    <row r="63" spans="1:63" x14ac:dyDescent="0.2">
      <c r="A63" s="194"/>
      <c r="B63" s="195" t="s">
        <v>578</v>
      </c>
      <c r="C63" s="185"/>
      <c r="D63" s="126"/>
      <c r="E63" s="127"/>
      <c r="F63" s="127"/>
      <c r="G63" s="127"/>
      <c r="H63" s="127"/>
      <c r="I63" s="127"/>
      <c r="J63" s="127">
        <f t="shared" ref="J63" si="127">SUM(J64:J66)</f>
        <v>0</v>
      </c>
      <c r="K63" s="196">
        <f t="shared" ref="K63:K65" si="128">C63-SUM(D63:G63,H63:I63,J63)</f>
        <v>0</v>
      </c>
      <c r="M63" s="194"/>
      <c r="N63" s="195" t="s">
        <v>578</v>
      </c>
      <c r="O63" s="185"/>
      <c r="P63" s="126"/>
      <c r="Q63" s="127"/>
      <c r="R63" s="127"/>
      <c r="S63" s="127"/>
      <c r="T63" s="127"/>
      <c r="U63" s="127"/>
      <c r="V63" s="127">
        <f t="shared" ref="V63" si="129">SUM(V64:V66)</f>
        <v>0</v>
      </c>
      <c r="W63" s="196">
        <f t="shared" ref="W63:W65" si="130">O63-SUM(P63:S63,T63:U63,V63)</f>
        <v>0</v>
      </c>
      <c r="Y63" s="2"/>
      <c r="Z63" s="6" t="s">
        <v>578</v>
      </c>
      <c r="AA63" s="125"/>
      <c r="AB63" s="126"/>
      <c r="AC63" s="127"/>
      <c r="AD63" s="127"/>
      <c r="AE63" s="127"/>
      <c r="AF63" s="127"/>
      <c r="AG63" s="127"/>
      <c r="AH63" s="127">
        <f t="shared" ref="AH63" si="131">SUM(AH64:AH66)</f>
        <v>0</v>
      </c>
      <c r="AI63" s="123">
        <f t="shared" ref="AI63:AI65" si="132">AA63-SUM(AB63:AE63,AF63:AG63,AH63)</f>
        <v>0</v>
      </c>
      <c r="AK63" s="2"/>
      <c r="AL63" s="6" t="s">
        <v>578</v>
      </c>
      <c r="AM63" s="125"/>
      <c r="AN63" s="126"/>
      <c r="AO63" s="127"/>
      <c r="AP63" s="127"/>
      <c r="AQ63" s="127"/>
      <c r="AR63" s="127"/>
      <c r="AS63" s="127"/>
      <c r="AT63" s="127">
        <f t="shared" ref="AT63" si="133">SUM(AT64:AT66)</f>
        <v>0</v>
      </c>
      <c r="AU63" s="123">
        <f t="shared" ref="AU63:AU65" si="134">AM63-SUM(AN63:AQ63,AR63:AS63,AT63)</f>
        <v>0</v>
      </c>
      <c r="AW63" s="194"/>
      <c r="AX63" s="195" t="s">
        <v>578</v>
      </c>
      <c r="AY63" s="185"/>
      <c r="AZ63" s="126"/>
      <c r="BA63" s="127"/>
      <c r="BB63" s="127"/>
      <c r="BC63" s="127"/>
      <c r="BD63" s="127"/>
      <c r="BE63" s="127"/>
      <c r="BF63" s="127">
        <f t="shared" ref="BF63" si="135">SUM(BF64:BF66)</f>
        <v>0</v>
      </c>
      <c r="BG63" s="196">
        <f t="shared" ref="BG63:BG65" si="136">AY63-SUM(AZ63:BC63,BD63:BE63,BF63)</f>
        <v>0</v>
      </c>
      <c r="BI63" s="69" t="str">
        <f>IF(OR(K63&lt;0,W63&lt;0,AI63&lt;0,AU63&lt;0,BG63&lt;0),"!! Total must be &gt;= sum by situation",IF(OR(C63&lt;SUM(O63,AA63,AM63,AY63),D63&lt;SUM(P63,AB63,AN63,AZ63),E63&lt;SUM(Q63,AC63,AO63,BA63),F63&lt;SUM(R63,AD63,AP63,BB63),G63&lt;SUM(S63,AE63,AQ63,BC63),H63&lt;SUM(T63,AF63,AR63,BD63),I63&lt;SUM(U63,AG63,AS63,BE63),J63&lt;SUM(V63,AH63,AT63,BF63)),"!! Values in FU1 must be &gt;= sum of values in FU2 - FU5",""))</f>
        <v/>
      </c>
      <c r="BK63" s="265"/>
    </row>
    <row r="64" spans="1:63" x14ac:dyDescent="0.2">
      <c r="A64" s="194"/>
      <c r="B64" s="195" t="s">
        <v>6</v>
      </c>
      <c r="C64" s="185"/>
      <c r="D64" s="126"/>
      <c r="E64" s="127"/>
      <c r="F64" s="127"/>
      <c r="G64" s="127"/>
      <c r="H64" s="127"/>
      <c r="I64" s="127"/>
      <c r="J64" s="127">
        <v>0</v>
      </c>
      <c r="K64" s="196">
        <f t="shared" si="128"/>
        <v>0</v>
      </c>
      <c r="M64" s="194"/>
      <c r="N64" s="195" t="s">
        <v>6</v>
      </c>
      <c r="O64" s="185"/>
      <c r="P64" s="126"/>
      <c r="Q64" s="127"/>
      <c r="R64" s="127"/>
      <c r="S64" s="127"/>
      <c r="T64" s="127"/>
      <c r="U64" s="127"/>
      <c r="V64" s="127">
        <v>0</v>
      </c>
      <c r="W64" s="196">
        <f t="shared" si="130"/>
        <v>0</v>
      </c>
      <c r="Y64" s="2"/>
      <c r="Z64" s="6" t="s">
        <v>6</v>
      </c>
      <c r="AA64" s="125"/>
      <c r="AB64" s="126"/>
      <c r="AC64" s="127"/>
      <c r="AD64" s="127"/>
      <c r="AE64" s="127"/>
      <c r="AF64" s="127"/>
      <c r="AG64" s="127"/>
      <c r="AH64" s="127">
        <v>0</v>
      </c>
      <c r="AI64" s="123">
        <f t="shared" si="132"/>
        <v>0</v>
      </c>
      <c r="AK64" s="2"/>
      <c r="AL64" s="6" t="s">
        <v>6</v>
      </c>
      <c r="AM64" s="125"/>
      <c r="AN64" s="126"/>
      <c r="AO64" s="127"/>
      <c r="AP64" s="127"/>
      <c r="AQ64" s="127"/>
      <c r="AR64" s="127"/>
      <c r="AS64" s="127"/>
      <c r="AT64" s="127">
        <v>0</v>
      </c>
      <c r="AU64" s="123">
        <f t="shared" si="134"/>
        <v>0</v>
      </c>
      <c r="AW64" s="194"/>
      <c r="AX64" s="195" t="s">
        <v>6</v>
      </c>
      <c r="AY64" s="185"/>
      <c r="AZ64" s="126"/>
      <c r="BA64" s="127"/>
      <c r="BB64" s="127"/>
      <c r="BC64" s="127"/>
      <c r="BD64" s="127"/>
      <c r="BE64" s="127"/>
      <c r="BF64" s="127">
        <v>0</v>
      </c>
      <c r="BG64" s="196">
        <f t="shared" si="136"/>
        <v>0</v>
      </c>
      <c r="BI64" s="69" t="str">
        <f>IF(OR(K64&lt;0,W64&lt;0,AI64&lt;0,AU64&lt;0,BG64&lt;0),"!! Total must be &gt;= sum by situation",IF(OR(C64&lt;SUM(O64,AA64,AM64,AY64),D64&lt;SUM(P64,AB64,AN64,AZ64),E64&lt;SUM(Q64,AC64,AO64,BA64),F64&lt;SUM(R64,AD64,AP64,BB64),G64&lt;SUM(S64,AE64,AQ64,BC64),H64&lt;SUM(T64,AF64,AR64,BD64),I64&lt;SUM(U64,AG64,AS64,BE64),J64&lt;SUM(V64,AH64,AT64,BF64)),"!! Values in FU1 must be &gt;= sum of values in FU2 - FU5",""))</f>
        <v/>
      </c>
      <c r="BK64" s="265"/>
    </row>
    <row r="65" spans="1:63" x14ac:dyDescent="0.2">
      <c r="A65" s="194"/>
      <c r="B65" s="195" t="s">
        <v>7</v>
      </c>
      <c r="C65" s="185"/>
      <c r="D65" s="126"/>
      <c r="E65" s="126"/>
      <c r="F65" s="126"/>
      <c r="G65" s="126"/>
      <c r="H65" s="126"/>
      <c r="I65" s="126"/>
      <c r="J65" s="127">
        <v>0</v>
      </c>
      <c r="K65" s="196">
        <f t="shared" si="128"/>
        <v>0</v>
      </c>
      <c r="M65" s="194"/>
      <c r="N65" s="195" t="s">
        <v>7</v>
      </c>
      <c r="O65" s="185"/>
      <c r="P65" s="126"/>
      <c r="Q65" s="126"/>
      <c r="R65" s="126"/>
      <c r="S65" s="126"/>
      <c r="T65" s="126"/>
      <c r="U65" s="126"/>
      <c r="V65" s="127">
        <v>0</v>
      </c>
      <c r="W65" s="196">
        <f t="shared" si="130"/>
        <v>0</v>
      </c>
      <c r="Y65" s="2"/>
      <c r="Z65" s="6" t="s">
        <v>7</v>
      </c>
      <c r="AA65" s="125"/>
      <c r="AB65" s="126"/>
      <c r="AC65" s="127"/>
      <c r="AD65" s="127"/>
      <c r="AE65" s="127"/>
      <c r="AF65" s="127"/>
      <c r="AG65" s="127"/>
      <c r="AH65" s="127">
        <v>0</v>
      </c>
      <c r="AI65" s="123">
        <f t="shared" si="132"/>
        <v>0</v>
      </c>
      <c r="AK65" s="2"/>
      <c r="AL65" s="6" t="s">
        <v>7</v>
      </c>
      <c r="AM65" s="125"/>
      <c r="AN65" s="126"/>
      <c r="AO65" s="126"/>
      <c r="AP65" s="126"/>
      <c r="AQ65" s="126"/>
      <c r="AR65" s="126"/>
      <c r="AS65" s="126"/>
      <c r="AT65" s="127">
        <v>0</v>
      </c>
      <c r="AU65" s="123">
        <f t="shared" si="134"/>
        <v>0</v>
      </c>
      <c r="AW65" s="194"/>
      <c r="AX65" s="195" t="s">
        <v>7</v>
      </c>
      <c r="AY65" s="185"/>
      <c r="AZ65" s="126"/>
      <c r="BA65" s="126"/>
      <c r="BB65" s="126"/>
      <c r="BC65" s="126"/>
      <c r="BD65" s="126"/>
      <c r="BE65" s="126"/>
      <c r="BF65" s="127">
        <v>0</v>
      </c>
      <c r="BG65" s="196">
        <f t="shared" si="136"/>
        <v>0</v>
      </c>
      <c r="BI65" s="69" t="str">
        <f t="shared" ref="BI65:BI66" si="137">IF(OR(K65&lt;0,W65&lt;0,AI65&lt;0,AU65&lt;0,BG65&lt;0),"!! Total must be &gt;= sum by situation",IF(OR(C65&lt;SUM(O65,AA65,AM65,AY65),D65&lt;SUM(P65,AB65,AN65,AZ65),E65&lt;SUM(Q65,AC65,AO65,BA65),F65&lt;SUM(R65,AD65,AP65,BB65),G65&lt;SUM(S65,AE65,AQ65,BC65),H65&lt;SUM(T65,AF65,AR65,BD65),I65&lt;SUM(U65,AG65,AS65,BE65),J65&lt;SUM(V65,AH65,AT65,BF65)),"!! Values in FU1 must be &gt;= sum of values in FU2 - FU5",""))</f>
        <v/>
      </c>
      <c r="BK65" s="265"/>
    </row>
    <row r="66" spans="1:63" ht="16" thickBot="1" x14ac:dyDescent="0.25">
      <c r="A66" s="203"/>
      <c r="B66" s="205" t="s">
        <v>577</v>
      </c>
      <c r="C66" s="186"/>
      <c r="D66" s="128"/>
      <c r="E66" s="129"/>
      <c r="F66" s="129"/>
      <c r="G66" s="129"/>
      <c r="H66" s="129"/>
      <c r="I66" s="129"/>
      <c r="J66" s="129">
        <v>0</v>
      </c>
      <c r="K66" s="204">
        <f>C66-SUM(D66:G66,H66:I66,J66)</f>
        <v>0</v>
      </c>
      <c r="M66" s="203"/>
      <c r="N66" s="205" t="s">
        <v>577</v>
      </c>
      <c r="O66" s="186"/>
      <c r="P66" s="128"/>
      <c r="Q66" s="129"/>
      <c r="R66" s="129"/>
      <c r="S66" s="129"/>
      <c r="T66" s="129"/>
      <c r="U66" s="129"/>
      <c r="V66" s="129">
        <v>0</v>
      </c>
      <c r="W66" s="204">
        <f>O66-SUM(P66:S66,T66:U66,V66)</f>
        <v>0</v>
      </c>
      <c r="Y66" s="3"/>
      <c r="Z66" s="7" t="s">
        <v>577</v>
      </c>
      <c r="AA66" s="128"/>
      <c r="AB66" s="128"/>
      <c r="AC66" s="129"/>
      <c r="AD66" s="129"/>
      <c r="AE66" s="129"/>
      <c r="AF66" s="129"/>
      <c r="AG66" s="129"/>
      <c r="AH66" s="129">
        <v>0</v>
      </c>
      <c r="AI66" s="124">
        <f>AA66-SUM(AB66:AE66,AF66:AG66,AH66)</f>
        <v>0</v>
      </c>
      <c r="AK66" s="3"/>
      <c r="AL66" s="7" t="s">
        <v>577</v>
      </c>
      <c r="AM66" s="128"/>
      <c r="AN66" s="128"/>
      <c r="AO66" s="129"/>
      <c r="AP66" s="129"/>
      <c r="AQ66" s="129"/>
      <c r="AR66" s="129"/>
      <c r="AS66" s="129"/>
      <c r="AT66" s="129">
        <v>0</v>
      </c>
      <c r="AU66" s="124">
        <f>AM66-SUM(AN66:AQ66,AR66:AS66,AT66)</f>
        <v>0</v>
      </c>
      <c r="AW66" s="203"/>
      <c r="AX66" s="205" t="s">
        <v>577</v>
      </c>
      <c r="AY66" s="186"/>
      <c r="AZ66" s="128"/>
      <c r="BA66" s="129"/>
      <c r="BB66" s="129"/>
      <c r="BC66" s="129"/>
      <c r="BD66" s="129"/>
      <c r="BE66" s="129"/>
      <c r="BF66" s="129">
        <v>0</v>
      </c>
      <c r="BG66" s="204">
        <f>AY66-SUM(AZ66:BC66,BD66:BE66,BF66)</f>
        <v>0</v>
      </c>
      <c r="BI66" s="70" t="str">
        <f t="shared" si="137"/>
        <v/>
      </c>
      <c r="BK66" s="266"/>
    </row>
    <row r="67" spans="1:63" ht="16" thickTop="1" x14ac:dyDescent="0.2">
      <c r="AW67" s="206"/>
      <c r="AX67" s="207"/>
      <c r="AY67" s="208"/>
      <c r="AZ67" s="209"/>
      <c r="BA67" s="209"/>
      <c r="BB67" s="209"/>
      <c r="BC67" s="209"/>
      <c r="BD67" s="209"/>
      <c r="BE67" s="210"/>
      <c r="BF67" s="210"/>
      <c r="BG67" s="211"/>
    </row>
  </sheetData>
  <sheetProtection algorithmName="SHA-512" hashValue="zzJGNpeah+HqJanl/myuXW9U1n1rLc4r3O5x5v63+koceKhur9hOUWHtWbhRcrHCPpOSlal6H+4LgNyzmEj/Bw==" saltValue="PEgajMJ0cRUBOpOTMahsxw==" spinCount="100000" sheet="1" formatCells="0" formatColumns="0" formatRows="0"/>
  <mergeCells count="59">
    <mergeCell ref="Y12:AI12"/>
    <mergeCell ref="AK12:AU12"/>
    <mergeCell ref="AW12:BG12"/>
    <mergeCell ref="A13:B16"/>
    <mergeCell ref="C13:C15"/>
    <mergeCell ref="D13:K13"/>
    <mergeCell ref="M13:N16"/>
    <mergeCell ref="O13:O15"/>
    <mergeCell ref="P13:W13"/>
    <mergeCell ref="W14:W16"/>
    <mergeCell ref="AB15:AE15"/>
    <mergeCell ref="AN14:AQ14"/>
    <mergeCell ref="AR14:AS14"/>
    <mergeCell ref="Y13:Z16"/>
    <mergeCell ref="AA13:AA15"/>
    <mergeCell ref="AB13:AI13"/>
    <mergeCell ref="AK13:AL16"/>
    <mergeCell ref="AM13:AM15"/>
    <mergeCell ref="AN13:AU13"/>
    <mergeCell ref="AB14:AE14"/>
    <mergeCell ref="AF14:AG14"/>
    <mergeCell ref="AF15:AF16"/>
    <mergeCell ref="AG15:AG16"/>
    <mergeCell ref="AN15:AQ15"/>
    <mergeCell ref="AR15:AR16"/>
    <mergeCell ref="AS15:AS16"/>
    <mergeCell ref="AH14:AH16"/>
    <mergeCell ref="AI14:AI16"/>
    <mergeCell ref="AT14:AT16"/>
    <mergeCell ref="AU14:AU16"/>
    <mergeCell ref="M3:W7"/>
    <mergeCell ref="A12:K12"/>
    <mergeCell ref="M12:W12"/>
    <mergeCell ref="D15:G15"/>
    <mergeCell ref="H15:H16"/>
    <mergeCell ref="I15:I16"/>
    <mergeCell ref="P15:S15"/>
    <mergeCell ref="T15:T16"/>
    <mergeCell ref="U15:U16"/>
    <mergeCell ref="D14:G14"/>
    <mergeCell ref="H14:I14"/>
    <mergeCell ref="J14:J16"/>
    <mergeCell ref="K14:K16"/>
    <mergeCell ref="P14:S14"/>
    <mergeCell ref="T14:U14"/>
    <mergeCell ref="V14:V16"/>
    <mergeCell ref="AW13:AX16"/>
    <mergeCell ref="AY13:AY15"/>
    <mergeCell ref="BI14:BI16"/>
    <mergeCell ref="BK14:BK17"/>
    <mergeCell ref="BK18:BK66"/>
    <mergeCell ref="AZ15:BC15"/>
    <mergeCell ref="BF14:BF16"/>
    <mergeCell ref="BG14:BG16"/>
    <mergeCell ref="AZ14:BC14"/>
    <mergeCell ref="BD14:BE14"/>
    <mergeCell ref="BD15:BD16"/>
    <mergeCell ref="BE15:BE16"/>
    <mergeCell ref="AZ13:BG13"/>
  </mergeCells>
  <conditionalFormatting sqref="K19:K66">
    <cfRule type="expression" dxfId="3" priority="3">
      <formula>K19&lt;0</formula>
    </cfRule>
  </conditionalFormatting>
  <conditionalFormatting sqref="W19:W66">
    <cfRule type="expression" dxfId="2" priority="2">
      <formula>W19&lt;0</formula>
    </cfRule>
  </conditionalFormatting>
  <conditionalFormatting sqref="AI19:AI22 AU19:AU66 AI24:AI27 AI29:AI34 AI36:AI39 AI41:AI44 AI46:AI51 AI53:AI56 AI58:AI61 AI63:AI66">
    <cfRule type="expression" dxfId="1" priority="4">
      <formula>AI19&lt;0</formula>
    </cfRule>
  </conditionalFormatting>
  <conditionalFormatting sqref="BG19:BG66">
    <cfRule type="expression" dxfId="0" priority="1">
      <formula>BG19&lt;0</formula>
    </cfRule>
  </conditionalFormatting>
  <pageMargins left="0.23622047244094491" right="0.23622047244094491" top="0.35433070866141736" bottom="0.55118110236220474" header="0.31496062992125984" footer="0.11811023622047245"/>
  <pageSetup paperSize="9" orientation="landscape" r:id="rId1"/>
  <headerFooter>
    <oddFooter>&amp;LYG monitoring (pilot)&amp;R&amp;A\&amp;P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N232"/>
  <sheetViews>
    <sheetView workbookViewId="0">
      <selection activeCell="F85" sqref="F85"/>
    </sheetView>
  </sheetViews>
  <sheetFormatPr baseColWidth="10" defaultColWidth="9.1640625" defaultRowHeight="15" outlineLevelRow="1" x14ac:dyDescent="0.2"/>
  <cols>
    <col min="1" max="1" width="4.5" style="29" customWidth="1"/>
    <col min="2" max="2" width="26.5" style="29" customWidth="1"/>
    <col min="3" max="14" width="11.5" style="29" customWidth="1"/>
    <col min="15" max="16384" width="9.1640625" style="29"/>
  </cols>
  <sheetData>
    <row r="1" spans="1:14" s="28" customFormat="1" ht="19" x14ac:dyDescent="0.2">
      <c r="A1" s="27" t="s">
        <v>202</v>
      </c>
    </row>
    <row r="2" spans="1:14" x14ac:dyDescent="0.2">
      <c r="A2" s="43" t="s">
        <v>168</v>
      </c>
      <c r="B2" s="43"/>
    </row>
    <row r="3" spans="1:14" ht="16" thickBot="1" x14ac:dyDescent="0.25"/>
    <row r="4" spans="1:14" s="90" customFormat="1" ht="20" thickBot="1" x14ac:dyDescent="0.3">
      <c r="A4" s="109" t="s">
        <v>173</v>
      </c>
      <c r="B4" s="110"/>
      <c r="C4" s="110"/>
      <c r="D4" s="115" t="e">
        <f>RefYear_Main</f>
        <v>#REF!</v>
      </c>
      <c r="E4" s="111"/>
      <c r="F4" s="111"/>
      <c r="G4" s="112"/>
      <c r="H4" s="112"/>
      <c r="I4" s="112"/>
      <c r="J4" s="113"/>
      <c r="K4" s="112"/>
      <c r="L4" s="112"/>
      <c r="M4" s="113"/>
      <c r="N4" s="114"/>
    </row>
    <row r="6" spans="1:14" s="44" customFormat="1" x14ac:dyDescent="0.2">
      <c r="A6" s="44" t="s">
        <v>179</v>
      </c>
    </row>
    <row r="8" spans="1:14" s="45" customFormat="1" x14ac:dyDescent="0.2">
      <c r="A8" s="45" t="s">
        <v>182</v>
      </c>
      <c r="C8" s="45" t="s">
        <v>150</v>
      </c>
    </row>
    <row r="9" spans="1:14" s="45" customFormat="1" ht="30" customHeight="1" x14ac:dyDescent="0.2">
      <c r="C9" s="346" t="s">
        <v>580</v>
      </c>
      <c r="D9" s="346"/>
      <c r="E9" s="346"/>
      <c r="F9" s="346"/>
      <c r="G9" s="346"/>
      <c r="H9" s="346"/>
      <c r="I9" s="346"/>
      <c r="J9" s="163"/>
      <c r="K9" s="163"/>
    </row>
    <row r="10" spans="1:14" ht="16" thickBot="1" x14ac:dyDescent="0.25"/>
    <row r="11" spans="1:14" ht="15.75" customHeight="1" thickTop="1" x14ac:dyDescent="0.2">
      <c r="A11" s="352" t="s">
        <v>99</v>
      </c>
      <c r="B11" s="357"/>
      <c r="C11" s="347" t="s">
        <v>228</v>
      </c>
      <c r="D11" s="348"/>
      <c r="E11" s="349"/>
      <c r="F11" s="347" t="s">
        <v>11</v>
      </c>
      <c r="G11" s="348"/>
      <c r="H11" s="349"/>
      <c r="I11" s="356" t="s">
        <v>13</v>
      </c>
      <c r="J11" s="348"/>
      <c r="K11" s="349"/>
      <c r="L11" s="347" t="s">
        <v>227</v>
      </c>
      <c r="M11" s="348"/>
      <c r="N11" s="350"/>
    </row>
    <row r="12" spans="1:14" x14ac:dyDescent="0.2">
      <c r="A12" s="354"/>
      <c r="B12" s="358"/>
      <c r="C12" s="49" t="s">
        <v>3</v>
      </c>
      <c r="D12" s="47" t="s">
        <v>4</v>
      </c>
      <c r="E12" s="48" t="s">
        <v>5</v>
      </c>
      <c r="F12" s="49" t="s">
        <v>3</v>
      </c>
      <c r="G12" s="47" t="s">
        <v>4</v>
      </c>
      <c r="H12" s="48" t="s">
        <v>5</v>
      </c>
      <c r="I12" s="46" t="s">
        <v>3</v>
      </c>
      <c r="J12" s="47" t="s">
        <v>4</v>
      </c>
      <c r="K12" s="48" t="s">
        <v>5</v>
      </c>
      <c r="L12" s="49" t="s">
        <v>3</v>
      </c>
      <c r="M12" s="47" t="s">
        <v>4</v>
      </c>
      <c r="N12" s="164" t="s">
        <v>5</v>
      </c>
    </row>
    <row r="13" spans="1:14" x14ac:dyDescent="0.2">
      <c r="A13" s="50" t="s">
        <v>8</v>
      </c>
      <c r="B13" s="51"/>
      <c r="C13" s="52" t="str">
        <f>IF(AND(ISNUMBER(HLOOKUP("Total",Stock_Total,Age15_29, FALSE)),ISNUMBER(HLOOKUP("&lt;4 months",Stock_Total,Age15_29, FALSE))),IFERROR((HLOOKUP("Total",Stock_Total,Age15_29, FALSE)-HLOOKUP("&lt;4 months",Stock_Total,Age15_29, FALSE))/HLOOKUP("Total",Stock_Total,Age15_29, FALSE),":"),":")</f>
        <v>:</v>
      </c>
      <c r="D13" s="53" t="str">
        <f>IF(AND(ISNUMBER(HLOOKUP("Total",Stock_Men,Age15_29, FALSE)),ISNUMBER(HLOOKUP("&lt;4 months",Stock_Men,Age15_29, FALSE))),IFERROR((HLOOKUP("Total",Stock_Men,Age15_29, FALSE)-HLOOKUP("&lt;4 months",Stock_Men,Age15_29, FALSE))/HLOOKUP("Total",Stock_Men,Age15_29, FALSE),":"),":")</f>
        <v>:</v>
      </c>
      <c r="E13" s="54" t="str">
        <f>IF(AND(ISNUMBER(HLOOKUP("Total",Stock_Women,Age15_29, FALSE)),ISNUMBER(HLOOKUP("&lt;4 months",Stock_Women,Age15_29, FALSE))),IFERROR((HLOOKUP("Total",Stock_Women,Age15_29, FALSE)-HLOOKUP("&lt;4 months",Stock_Women,Age15_29, FALSE))/HLOOKUP("Total",Stock_Women,Age15_29, FALSE),":"),":")</f>
        <v>:</v>
      </c>
      <c r="F13" s="52" t="str">
        <f>IF(AND(ISNUMBER(HLOOKUP("Total",Stock_Total,Age15_19, FALSE)),ISNUMBER(HLOOKUP("&lt;4 months",Stock_Total,Age15_19, FALSE))),IFERROR((HLOOKUP("Total",Stock_Total,Age15_19, FALSE)-HLOOKUP("&lt;4 months",Stock_Total,Age15_19, FALSE))/HLOOKUP("Total",Stock_Total,Age15_19, FALSE),":"),":")</f>
        <v>:</v>
      </c>
      <c r="G13" s="53" t="str">
        <f>IF(AND(ISNUMBER(HLOOKUP("Total",Stock_Men,Age15_19, FALSE)),ISNUMBER(HLOOKUP("&lt;4 months",Stock_Men,Age15_19, FALSE))),IFERROR((HLOOKUP("Total",Stock_Men,Age15_19, FALSE)-HLOOKUP("&lt;4 months",Stock_Men,Age15_19, FALSE))/HLOOKUP("Total",Stock_Men,Age15_19, FALSE),":"),":")</f>
        <v>:</v>
      </c>
      <c r="H13" s="54" t="str">
        <f>IF(AND(ISNUMBER(HLOOKUP("Total",Stock_Women,Age15_19, FALSE)),ISNUMBER(HLOOKUP("&lt;4 months",Stock_Women,Age15_19, FALSE))),IFERROR((HLOOKUP("Total",Stock_Women,Age15_19, FALSE)-HLOOKUP("&lt;4 months",Stock_Women,Age15_19, FALSE))/HLOOKUP("Total",Stock_Women,Age15_19, FALSE),":"),":")</f>
        <v>:</v>
      </c>
      <c r="I13" s="52" t="str">
        <f>IF(AND(ISNUMBER(HLOOKUP("Total",Stock_Total,Age20_24, FALSE)),ISNUMBER(HLOOKUP("&lt;4 months",Stock_Total,Age20_24, FALSE))),IFERROR((HLOOKUP("Total",Stock_Total,Age20_24, FALSE)-HLOOKUP("&lt;4 months",Stock_Total,Age20_24, FALSE))/HLOOKUP("Total",Stock_Total,Age20_24, FALSE),":"),":")</f>
        <v>:</v>
      </c>
      <c r="J13" s="53" t="str">
        <f>IF(AND(ISNUMBER(HLOOKUP("Total",Stock_Men,Age20_24, FALSE)),ISNUMBER(HLOOKUP("&lt;4 months",Stock_Men,Age20_24, FALSE))),IFERROR((HLOOKUP("Total",Stock_Men,Age20_24, FALSE)-HLOOKUP("&lt;4 months",Stock_Men,Age20_24, FALSE))/HLOOKUP("Total",Stock_Men,Age20_24, FALSE),":"),":")</f>
        <v>:</v>
      </c>
      <c r="K13" s="54" t="str">
        <f>IF(AND(ISNUMBER(HLOOKUP("Total",Stock_Women,Age20_24, FALSE)),ISNUMBER(HLOOKUP("&lt;4 months",Stock_Women,Age20_24, FALSE))),IFERROR((HLOOKUP("Total",Stock_Women,Age20_24, FALSE)-HLOOKUP("&lt;4 months",Stock_Women,Age20_24, FALSE))/HLOOKUP("Total",Stock_Women,Age20_24, FALSE),":"),":")</f>
        <v>:</v>
      </c>
      <c r="L13" s="52" t="str">
        <f>IF(AND(ISNUMBER(HLOOKUP("Total",Stock_Total,Age25_29, FALSE)),ISNUMBER(HLOOKUP("&lt;4 months",Stock_Total,Age25_29, FALSE))),IFERROR((HLOOKUP("Total",Stock_Total,Age25_29, FALSE)-HLOOKUP("&lt;4 months",Stock_Total,Age25_29, FALSE))/HLOOKUP("Total",Stock_Total,Age25_29, FALSE),":"),":")</f>
        <v>:</v>
      </c>
      <c r="M13" s="53" t="str">
        <f>IF(AND(ISNUMBER(HLOOKUP("Total",Stock_Men,Age25_29, FALSE)),ISNUMBER(HLOOKUP("&lt;4 months",Stock_Men,Age25_29, FALSE))),IFERROR((HLOOKUP("Total",Stock_Men,Age25_29, FALSE)-HLOOKUP("&lt;4 months",Stock_Men,Age25_29, FALSE))/HLOOKUP("Total",Stock_Men,Age25_29, FALSE),":"),":")</f>
        <v>:</v>
      </c>
      <c r="N13" s="54" t="str">
        <f>IF(AND(ISNUMBER(HLOOKUP("Total",Stock_Women,Age25_29, FALSE)),ISNUMBER(HLOOKUP("&lt;4 months",Stock_Women,Age25_29, FALSE))),IFERROR((HLOOKUP("Total",Stock_Women,Age25_29, FALSE)-HLOOKUP("&lt;4 months",Stock_Women,Age25_29, FALSE))/HLOOKUP("Total",Stock_Women,Age25_29, FALSE),":"),":")</f>
        <v>:</v>
      </c>
    </row>
    <row r="14" spans="1:14" x14ac:dyDescent="0.2">
      <c r="A14" s="50" t="s">
        <v>9</v>
      </c>
      <c r="B14" s="51"/>
      <c r="C14" s="52" t="str">
        <f>IF(AND(ISNUMBER(C13),ISNUMBER(HLOOKUP("4-5 months",Stock_Total,Age15_29, FALSE))),IFERROR((HLOOKUP("Total",Stock_Total,Age15_29, FALSE)-HLOOKUP("&lt;4 months",Stock_Total,Age15_29, FALSE)-HLOOKUP("4-5 months",Stock_Total,Age15_29, FALSE))/HLOOKUP("Total",Stock_Total,Age15_29, FALSE),":"),":")</f>
        <v>:</v>
      </c>
      <c r="D14" s="53" t="str">
        <f>IF(AND(ISNUMBER(D13),ISNUMBER(HLOOKUP("4-5 months",Stock_Men,Age15_29, FALSE))),IFERROR((HLOOKUP("Total",Stock_Men,Age15_29, FALSE)-HLOOKUP("&lt;4 months",Stock_Men,Age15_29, FALSE)-HLOOKUP("4-5 months",Stock_Men,Age15_29, FALSE))/HLOOKUP("Total",Stock_Men,Age15_29, FALSE),":"),":")</f>
        <v>:</v>
      </c>
      <c r="E14" s="54" t="str">
        <f>IF(AND(ISNUMBER(E13),ISNUMBER(HLOOKUP("4-5 months",Stock_Women,Age15_29, FALSE))),IFERROR((HLOOKUP("Total",Stock_Women,Age15_29, FALSE)-HLOOKUP("&lt;4 months",Stock_Women,Age15_29, FALSE)-HLOOKUP("4-5 months",Stock_Women,Age15_29, FALSE))/HLOOKUP("Total",Stock_Women,Age15_29, FALSE),":"),":")</f>
        <v>:</v>
      </c>
      <c r="F14" s="52" t="str">
        <f>IF(AND(ISNUMBER(F13),ISNUMBER(HLOOKUP("4-5 months",Stock_Total,Age15_19, FALSE))),IFERROR((HLOOKUP("Total",Stock_Total,Age15_19, FALSE)-HLOOKUP("&lt;4 months",Stock_Total,Age15_19, FALSE)-HLOOKUP("4-5 months",Stock_Total,Age15_19, FALSE))/HLOOKUP("Total",Stock_Total,Age15_19, FALSE),":"),":")</f>
        <v>:</v>
      </c>
      <c r="G14" s="53" t="str">
        <f>IF(AND(ISNUMBER(G13),ISNUMBER(HLOOKUP("4-5 months",Stock_Men,Age15_19, FALSE))),IFERROR((HLOOKUP("Total",Stock_Men,Age15_19, FALSE)-HLOOKUP("&lt;4 months",Stock_Men,Age15_19, FALSE)-HLOOKUP("4-5 months",Stock_Men,Age15_19, FALSE))/HLOOKUP("Total",Stock_Men,Age15_19, FALSE),":"),":")</f>
        <v>:</v>
      </c>
      <c r="H14" s="54" t="str">
        <f>IF(AND(ISNUMBER(H13),ISNUMBER(HLOOKUP("4-5 months",Stock_Women,Age15_19, FALSE))),IFERROR((HLOOKUP("Total",Stock_Women,Age15_19, FALSE)-HLOOKUP("&lt;4 months",Stock_Women,Age15_19, FALSE)-HLOOKUP("4-5 months",Stock_Women,Age15_19, FALSE))/HLOOKUP("Total",Stock_Women,Age15_19, FALSE),":"),":")</f>
        <v>:</v>
      </c>
      <c r="I14" s="52" t="str">
        <f>IF(AND(ISNUMBER(I13),ISNUMBER(HLOOKUP("4-5 months",Stock_Total,Age20_24, FALSE))),IFERROR((HLOOKUP("Total",Stock_Total,Age20_24, FALSE)-HLOOKUP("&lt;4 months",Stock_Total,Age20_24, FALSE)-HLOOKUP("4-5 months",Stock_Total,Age20_24, FALSE))/HLOOKUP("Total",Stock_Total,Age20_24, FALSE),":"),":")</f>
        <v>:</v>
      </c>
      <c r="J14" s="53" t="str">
        <f>IF(AND(ISNUMBER(J13),ISNUMBER(HLOOKUP("4-5 months",Stock_Men,Age20_24, FALSE))),IFERROR((HLOOKUP("Total",Stock_Men,Age20_24, FALSE)-HLOOKUP("&lt;4 months",Stock_Men,Age20_24, FALSE)-HLOOKUP("4-5 months",Stock_Men,Age20_24, FALSE))/HLOOKUP("Total",Stock_Men,Age20_24, FALSE),":"),":")</f>
        <v>:</v>
      </c>
      <c r="K14" s="54" t="str">
        <f>IF(AND(ISNUMBER(K13),ISNUMBER(HLOOKUP("4-5 months",Stock_Women,Age20_24, FALSE))),IFERROR((HLOOKUP("Total",Stock_Women,Age20_24, FALSE)-HLOOKUP("&lt;4 months",Stock_Women,Age20_24, FALSE)-HLOOKUP("4-5 months",Stock_Women,Age20_24, FALSE))/HLOOKUP("Total",Stock_Women,Age20_24, FALSE),":"),":")</f>
        <v>:</v>
      </c>
      <c r="L14" s="52" t="str">
        <f>IF(AND(ISNUMBER(L13),ISNUMBER(HLOOKUP("4-5 months",Stock_Total,Age25_29, FALSE))),IFERROR((HLOOKUP("Total",Stock_Total,Age25_29, FALSE)-HLOOKUP("&lt;4 months",Stock_Total,Age25_29, FALSE)-HLOOKUP("4-5 months",Stock_Total,Age25_29, FALSE))/HLOOKUP("Total",Stock_Total,Age25_29, FALSE),":"),":")</f>
        <v>:</v>
      </c>
      <c r="M14" s="53" t="str">
        <f>IF(AND(ISNUMBER(M13),ISNUMBER(HLOOKUP("4-5 months",Stock_Men,Age25_29, FALSE))),IFERROR((HLOOKUP("Total",Stock_Men,Age25_29, FALSE)-HLOOKUP("&lt;4 months",Stock_Men,Age25_29, FALSE)-HLOOKUP("4-5 months",Stock_Men,Age25_29, FALSE))/HLOOKUP("Total",Stock_Men,Age25_29, FALSE),":"),":")</f>
        <v>:</v>
      </c>
      <c r="N14" s="54" t="str">
        <f>IF(AND(ISNUMBER(N13),ISNUMBER(HLOOKUP("4-5 months",Stock_Women,Age25_29, FALSE))),IFERROR((HLOOKUP("Total",Stock_Women,Age25_29, FALSE)-HLOOKUP("&lt;4 months",Stock_Women,Age25_29, FALSE)-HLOOKUP("4-5 months",Stock_Women,Age25_29, FALSE))/HLOOKUP("Total",Stock_Women,Age25_29, FALSE),":"),":")</f>
        <v>:</v>
      </c>
    </row>
    <row r="15" spans="1:14" ht="16" thickBot="1" x14ac:dyDescent="0.25">
      <c r="A15" s="55" t="s">
        <v>10</v>
      </c>
      <c r="B15" s="56"/>
      <c r="C15" s="57" t="str">
        <f>IF(AND(ISNUMBER(HLOOKUP("12+ months",Stock_Total,Age15_29, FALSE)),ISNUMBER(HLOOKUP("Total",Stock_Total,Age15_29, FALSE))),IFERROR(HLOOKUP("12+ months",Stock_Total,Age15_29, FALSE)/HLOOKUP("Total",Stock_Total,Age15_29, FALSE),":"),":")</f>
        <v>:</v>
      </c>
      <c r="D15" s="58" t="str">
        <f>IF(AND(ISNUMBER(HLOOKUP("12+ months",Stock_Men,Age15_29, FALSE)),ISNUMBER(HLOOKUP("Total",Stock_Men,Age15_29, FALSE))),IFERROR(HLOOKUP("12+ months",Stock_Men,Age15_29, FALSE)/HLOOKUP("Total",Stock_Men,Age15_29, FALSE),":"),":")</f>
        <v>:</v>
      </c>
      <c r="E15" s="59" t="str">
        <f>IF(AND(ISNUMBER(HLOOKUP("12+ months",Stock_Women,Age15_29, FALSE)),ISNUMBER(HLOOKUP("Total",Stock_Women,Age15_29, FALSE))),IFERROR(HLOOKUP("12+ months",Stock_Women,Age15_29, FALSE)/HLOOKUP("Total",Stock_Women,Age15_29, FALSE),":"),":")</f>
        <v>:</v>
      </c>
      <c r="F15" s="57" t="str">
        <f>IF(AND(ISNUMBER(HLOOKUP("12+ months",Stock_Total,Age15_19, FALSE)),ISNUMBER(HLOOKUP("Total",Stock_Total,Age15_19, FALSE))),IFERROR(HLOOKUP("12+ months",Stock_Total,Age15_19, FALSE)/HLOOKUP("Total",Stock_Total,Age15_19, FALSE),":"),":")</f>
        <v>:</v>
      </c>
      <c r="G15" s="58" t="str">
        <f>IF(AND(ISNUMBER(HLOOKUP("12+ months",Stock_Men,Age15_19, FALSE)),ISNUMBER(HLOOKUP("Total",Stock_Men,Age15_19, FALSE))),IFERROR(HLOOKUP("12+ months",Stock_Men,Age15_19, FALSE)/HLOOKUP("Total",Stock_Men,Age15_19, FALSE),":"),":")</f>
        <v>:</v>
      </c>
      <c r="H15" s="59" t="str">
        <f>IF(AND(ISNUMBER(HLOOKUP("12+ months",Stock_Women,Age15_19, FALSE)),ISNUMBER(HLOOKUP("Total",Stock_Women,Age15_19, FALSE))),IFERROR(HLOOKUP("12+ months",Stock_Women,Age15_19, FALSE)/HLOOKUP("Total",Stock_Women,Age15_19, FALSE),":"),":")</f>
        <v>:</v>
      </c>
      <c r="I15" s="57" t="str">
        <f>IF(AND(ISNUMBER(HLOOKUP("12+ months",Stock_Total,Age20_24, FALSE)),ISNUMBER(HLOOKUP("Total",Stock_Total,Age20_24, FALSE))),IFERROR(HLOOKUP("12+ months",Stock_Total,Age20_24, FALSE)/HLOOKUP("Total",Stock_Total,Age20_24, FALSE),":"),":")</f>
        <v>:</v>
      </c>
      <c r="J15" s="58" t="str">
        <f>IF(AND(ISNUMBER(HLOOKUP("12+ months",Stock_Men,Age20_24, FALSE)),ISNUMBER(HLOOKUP("Total",Stock_Men,Age20_24, FALSE))),IFERROR(HLOOKUP("12+ months",Stock_Men,Age20_24, FALSE)/HLOOKUP("Total",Stock_Men,Age20_24, FALSE),":"),":")</f>
        <v>:</v>
      </c>
      <c r="K15" s="59" t="str">
        <f>IF(AND(ISNUMBER(HLOOKUP("12+ months",Stock_Women,Age20_24, FALSE)),ISNUMBER(HLOOKUP("Total",Stock_Women,Age20_24, FALSE))),IFERROR(HLOOKUP("12+ months",Stock_Women,Age20_24, FALSE)/HLOOKUP("Total",Stock_Women,Age20_24, FALSE),":"),":")</f>
        <v>:</v>
      </c>
      <c r="L15" s="57" t="str">
        <f>IF(AND(ISNUMBER(HLOOKUP("12+ months",Stock_Total,Age25_29, FALSE)),ISNUMBER(HLOOKUP("Total",Stock_Total,Age25_29, FALSE))),IFERROR(HLOOKUP("12+ months",Stock_Total,Age25_29, FALSE)/HLOOKUP("Total",Stock_Total,Age25_29, FALSE),":"),":")</f>
        <v>:</v>
      </c>
      <c r="M15" s="58" t="str">
        <f>IF(AND(ISNUMBER(HLOOKUP("12+ months",Stock_Men,Age25_29, FALSE)),ISNUMBER(HLOOKUP("Total",Stock_Men,Age25_29, FALSE))),IFERROR(HLOOKUP("12+ months",Stock_Men,Age25_29, FALSE)/HLOOKUP("Total",Stock_Men,Age25_29, FALSE),":"),":")</f>
        <v>:</v>
      </c>
      <c r="N15" s="59" t="str">
        <f>IF(AND(ISNUMBER(HLOOKUP("12+ months",Stock_Women,Age25_29, FALSE)),ISNUMBER(HLOOKUP("Total",Stock_Women,Age25_29, FALSE))),IFERROR(HLOOKUP("12+ months",Stock_Women,Age25_29, FALSE)/HLOOKUP("Total",Stock_Women,Age25_29, FALSE),":"),":")</f>
        <v>:</v>
      </c>
    </row>
    <row r="16" spans="1:14" ht="16" thickTop="1" x14ac:dyDescent="0.2"/>
    <row r="17" spans="1:14" s="45" customFormat="1" x14ac:dyDescent="0.2">
      <c r="A17" s="45" t="s">
        <v>183</v>
      </c>
      <c r="C17" s="45" t="s">
        <v>153</v>
      </c>
    </row>
    <row r="18" spans="1:14" s="45" customFormat="1" ht="30" customHeight="1" x14ac:dyDescent="0.2">
      <c r="C18" s="346" t="s">
        <v>579</v>
      </c>
      <c r="D18" s="346"/>
      <c r="E18" s="346"/>
      <c r="F18" s="346"/>
      <c r="G18" s="346"/>
      <c r="H18" s="346"/>
      <c r="I18" s="346"/>
    </row>
    <row r="19" spans="1:14" ht="16" thickBot="1" x14ac:dyDescent="0.25"/>
    <row r="20" spans="1:14" ht="15.75" customHeight="1" thickTop="1" x14ac:dyDescent="0.2">
      <c r="A20" s="352" t="s">
        <v>29</v>
      </c>
      <c r="B20" s="353"/>
      <c r="C20" s="347" t="s">
        <v>228</v>
      </c>
      <c r="D20" s="348"/>
      <c r="E20" s="349"/>
      <c r="F20" s="347" t="s">
        <v>11</v>
      </c>
      <c r="G20" s="348"/>
      <c r="H20" s="349"/>
      <c r="I20" s="356" t="s">
        <v>13</v>
      </c>
      <c r="J20" s="348"/>
      <c r="K20" s="349"/>
      <c r="L20" s="347" t="s">
        <v>227</v>
      </c>
      <c r="M20" s="348"/>
      <c r="N20" s="350"/>
    </row>
    <row r="21" spans="1:14" x14ac:dyDescent="0.2">
      <c r="A21" s="354"/>
      <c r="B21" s="355"/>
      <c r="C21" s="49" t="s">
        <v>3</v>
      </c>
      <c r="D21" s="47" t="s">
        <v>4</v>
      </c>
      <c r="E21" s="48" t="s">
        <v>5</v>
      </c>
      <c r="F21" s="49" t="s">
        <v>3</v>
      </c>
      <c r="G21" s="47" t="s">
        <v>4</v>
      </c>
      <c r="H21" s="48" t="s">
        <v>5</v>
      </c>
      <c r="I21" s="46" t="s">
        <v>3</v>
      </c>
      <c r="J21" s="47" t="s">
        <v>4</v>
      </c>
      <c r="K21" s="48" t="s">
        <v>5</v>
      </c>
      <c r="L21" s="49" t="s">
        <v>3</v>
      </c>
      <c r="M21" s="47" t="s">
        <v>4</v>
      </c>
      <c r="N21" s="164" t="s">
        <v>5</v>
      </c>
    </row>
    <row r="22" spans="1:14" x14ac:dyDescent="0.2">
      <c r="A22" s="169" t="s">
        <v>30</v>
      </c>
      <c r="B22" s="170"/>
      <c r="C22" s="166" t="str">
        <f t="shared" ref="C22:E22" si="0">IF(COUNT(C23:C26)&gt;0,SUM(C23:C26),":")</f>
        <v>:</v>
      </c>
      <c r="D22" s="167" t="str">
        <f t="shared" si="0"/>
        <v>:</v>
      </c>
      <c r="E22" s="168" t="str">
        <f t="shared" si="0"/>
        <v>:</v>
      </c>
      <c r="F22" s="166" t="str">
        <f t="shared" ref="F22:K22" si="1">IF(COUNT(F23:F26)&gt;0,SUM(F23:F26),":")</f>
        <v>:</v>
      </c>
      <c r="G22" s="167" t="str">
        <f t="shared" si="1"/>
        <v>:</v>
      </c>
      <c r="H22" s="168" t="str">
        <f t="shared" si="1"/>
        <v>:</v>
      </c>
      <c r="I22" s="166" t="str">
        <f t="shared" si="1"/>
        <v>:</v>
      </c>
      <c r="J22" s="167" t="str">
        <f t="shared" si="1"/>
        <v>:</v>
      </c>
      <c r="K22" s="168" t="str">
        <f t="shared" si="1"/>
        <v>:</v>
      </c>
      <c r="L22" s="166" t="str">
        <f t="shared" ref="L22:N22" si="2">IF(COUNT(L23:L26)&gt;0,SUM(L23:L26),":")</f>
        <v>:</v>
      </c>
      <c r="M22" s="167" t="str">
        <f t="shared" si="2"/>
        <v>:</v>
      </c>
      <c r="N22" s="168" t="str">
        <f t="shared" si="2"/>
        <v>:</v>
      </c>
    </row>
    <row r="23" spans="1:14" x14ac:dyDescent="0.2">
      <c r="A23" s="50"/>
      <c r="B23" s="60" t="s">
        <v>15</v>
      </c>
      <c r="C23" s="52" t="str">
        <f>IF(ISNUMBER(HLOOKUP($B23,Exits_4m_Tot,Age15_29, FALSE)),IFERROR(HLOOKUP($B23,Exits_4m_Tot,Age15_29, FALSE)/HLOOKUP("Total",Exits_Tot_Tot,Age15_29, FALSE),":"),":")</f>
        <v>:</v>
      </c>
      <c r="D23" s="53" t="str">
        <f>IF(ISNUMBER(HLOOKUP($B23,Exits_4m_Men,Age15_29, FALSE)),IFERROR(HLOOKUP($B23,Exits_4m_Men,Age15_29, FALSE)/HLOOKUP("Total",Exits_Tot_Men,Age15_29, FALSE),":"),":")</f>
        <v>:</v>
      </c>
      <c r="E23" s="54" t="str">
        <f>IF(ISNUMBER(HLOOKUP($B23,Exits_4m_Women,Age15_29, FALSE)),IFERROR(HLOOKUP($B23,Exits_4m_Women,Age15_29, FALSE)/HLOOKUP("Total",Exits_Tot_Women,Age15_29, FALSE),":"),":")</f>
        <v>:</v>
      </c>
      <c r="F23" s="52" t="str">
        <f>IF(ISNUMBER(HLOOKUP($B23,Exits_4m_Tot,Age15_19, FALSE)),IFERROR(HLOOKUP($B23,Exits_4m_Tot,Age15_19, FALSE)/HLOOKUP("Total",Exits_Tot_Tot,Age15_19, FALSE),":"),":")</f>
        <v>:</v>
      </c>
      <c r="G23" s="53" t="str">
        <f>IF(ISNUMBER(HLOOKUP($B23,Exits_4m_Men,Age15_19, FALSE)),IFERROR(HLOOKUP($B23,Exits_4m_Men,Age15_19, FALSE)/HLOOKUP("Total",Exits_Tot_Men,Age15_19, FALSE),":"),":")</f>
        <v>:</v>
      </c>
      <c r="H23" s="54" t="str">
        <f>IF(ISNUMBER(HLOOKUP($B23,Exits_4m_Women,Age15_19, FALSE)),IFERROR(HLOOKUP($B23,Exits_4m_Women,Age15_19, FALSE)/HLOOKUP("Total",Exits_Tot_Women,Age15_19, FALSE),":"),":")</f>
        <v>:</v>
      </c>
      <c r="I23" s="52" t="str">
        <f>IF(ISNUMBER(HLOOKUP($B23,Exits_4m_Tot,Age20_24, FALSE)),IFERROR(HLOOKUP($B23,Exits_4m_Tot,Age20_24, FALSE)/HLOOKUP("Total",Exits_Tot_Tot,Age20_24, FALSE),":"),":")</f>
        <v>:</v>
      </c>
      <c r="J23" s="53" t="str">
        <f>IF(ISNUMBER(HLOOKUP($B23,Exits_4m_Men,Age20_24, FALSE)),IFERROR(HLOOKUP($B23,Exits_4m_Men,Age20_24, FALSE)/HLOOKUP("Total",Exits_Tot_Men,Age20_24, FALSE),":"),":")</f>
        <v>:</v>
      </c>
      <c r="K23" s="54" t="str">
        <f>IF(ISNUMBER(HLOOKUP($B23,Exits_4m_Women,Age20_24, FALSE)),IFERROR(HLOOKUP($B23,Exits_4m_Women,Age20_24, FALSE)/HLOOKUP("Total",Exits_Tot_Women,Age20_24, FALSE),":"),":")</f>
        <v>:</v>
      </c>
      <c r="L23" s="52" t="str">
        <f>IF(ISNUMBER(HLOOKUP($B23,Exits_4m_Tot,Age25_29, FALSE)),IFERROR(HLOOKUP($B23,Exits_4m_Tot,Age25_29, FALSE)/HLOOKUP("Total",Exits_Tot_Tot,Age25_29, FALSE),":"),":")</f>
        <v>:</v>
      </c>
      <c r="M23" s="53" t="str">
        <f>IF(ISNUMBER(HLOOKUP($B23,Exits_4m_Men,Age25_29, FALSE)),IFERROR(HLOOKUP($B23,Exits_4m_Men,Age25_29, FALSE)/HLOOKUP("Total",Exits_Tot_Men,Age25_29, FALSE),":"),":")</f>
        <v>:</v>
      </c>
      <c r="N23" s="54" t="str">
        <f>IF(ISNUMBER(HLOOKUP($B23,Exits_4m_Women,Age25_29, FALSE)),IFERROR(HLOOKUP($B23,Exits_4m_Women,Age25_29, FALSE)/HLOOKUP("Total",Exits_Tot_Women,Age25_29, FALSE),":"),":")</f>
        <v>:</v>
      </c>
    </row>
    <row r="24" spans="1:14" x14ac:dyDescent="0.2">
      <c r="A24" s="50"/>
      <c r="B24" s="60" t="s">
        <v>16</v>
      </c>
      <c r="C24" s="52" t="str">
        <f>IF(ISNUMBER(HLOOKUP($B24,Exits_4m_Tot,Age15_29, FALSE)),IFERROR(HLOOKUP($B24,Exits_4m_Tot,Age15_29, FALSE)/HLOOKUP("Total",Exits_Tot_Tot,Age15_29, FALSE),":"),":")</f>
        <v>:</v>
      </c>
      <c r="D24" s="53" t="str">
        <f>IF(ISNUMBER(HLOOKUP($B24,Exits_4m_Men,Age15_29, FALSE)),IFERROR(HLOOKUP($B24,Exits_4m_Men,Age15_29, FALSE)/HLOOKUP("Total",Exits_Tot_Men,Age15_29, FALSE),":"),":")</f>
        <v>:</v>
      </c>
      <c r="E24" s="54" t="str">
        <f>IF(ISNUMBER(HLOOKUP($B24,Exits_4m_Women,Age15_29, FALSE)),IFERROR(HLOOKUP($B24,Exits_4m_Women,Age15_29, FALSE)/HLOOKUP("Total",Exits_Tot_Women,Age15_29, FALSE),":"),":")</f>
        <v>:</v>
      </c>
      <c r="F24" s="52" t="str">
        <f>IF(ISNUMBER(HLOOKUP($B24,Exits_4m_Tot,Age15_19, FALSE)),IFERROR(HLOOKUP($B24,Exits_4m_Tot,Age15_19, FALSE)/HLOOKUP("Total",Exits_Tot_Tot,Age15_19, FALSE),":"),":")</f>
        <v>:</v>
      </c>
      <c r="G24" s="53" t="str">
        <f>IF(ISNUMBER(HLOOKUP($B24,Exits_4m_Men,Age15_19, FALSE)),IFERROR(HLOOKUP($B24,Exits_4m_Men,Age15_19, FALSE)/HLOOKUP("Total",Exits_Tot_Men,Age15_19, FALSE),":"),":")</f>
        <v>:</v>
      </c>
      <c r="H24" s="54" t="str">
        <f>IF(ISNUMBER(HLOOKUP($B24,Exits_4m_Women,Age15_19, FALSE)),IFERROR(HLOOKUP($B24,Exits_4m_Women,Age15_19, FALSE)/HLOOKUP("Total",Exits_Tot_Women,Age15_19, FALSE),":"),":")</f>
        <v>:</v>
      </c>
      <c r="I24" s="52" t="str">
        <f>IF(ISNUMBER(HLOOKUP($B24,Exits_4m_Tot,Age20_24, FALSE)),IFERROR(HLOOKUP($B24,Exits_4m_Tot,Age20_24, FALSE)/HLOOKUP("Total",Exits_Tot_Tot,Age20_24, FALSE),":"),":")</f>
        <v>:</v>
      </c>
      <c r="J24" s="53" t="str">
        <f>IF(ISNUMBER(HLOOKUP($B24,Exits_4m_Men,Age20_24, FALSE)),IFERROR(HLOOKUP($B24,Exits_4m_Men,Age20_24, FALSE)/HLOOKUP("Total",Exits_Tot_Men,Age20_24, FALSE),":"),":")</f>
        <v>:</v>
      </c>
      <c r="K24" s="54" t="str">
        <f>IF(ISNUMBER(HLOOKUP($B24,Exits_4m_Women,Age20_24, FALSE)),IFERROR(HLOOKUP($B24,Exits_4m_Women,Age20_24, FALSE)/HLOOKUP("Total",Exits_Tot_Women,Age20_24, FALSE),":"),":")</f>
        <v>:</v>
      </c>
      <c r="L24" s="52" t="str">
        <f>IF(ISNUMBER(HLOOKUP($B24,Exits_4m_Tot,Age25_29, FALSE)),IFERROR(HLOOKUP($B24,Exits_4m_Tot,Age25_29, FALSE)/HLOOKUP("Total",Exits_Tot_Tot,Age25_29, FALSE),":"),":")</f>
        <v>:</v>
      </c>
      <c r="M24" s="53" t="str">
        <f>IF(ISNUMBER(HLOOKUP($B24,Exits_4m_Men,Age25_29, FALSE)),IFERROR(HLOOKUP($B24,Exits_4m_Men,Age25_29, FALSE)/HLOOKUP("Total",Exits_Tot_Men,Age25_29, FALSE),":"),":")</f>
        <v>:</v>
      </c>
      <c r="N24" s="54" t="str">
        <f>IF(ISNUMBER(HLOOKUP($B24,Exits_4m_Women,Age25_29, FALSE)),IFERROR(HLOOKUP($B24,Exits_4m_Women,Age25_29, FALSE)/HLOOKUP("Total",Exits_Tot_Women,Age25_29, FALSE),":"),":")</f>
        <v>:</v>
      </c>
    </row>
    <row r="25" spans="1:14" x14ac:dyDescent="0.2">
      <c r="A25" s="50"/>
      <c r="B25" s="60" t="s">
        <v>17</v>
      </c>
      <c r="C25" s="52" t="str">
        <f>IF(ISNUMBER(HLOOKUP($B25,Exits_4m_Tot,Age15_29, FALSE)),IFERROR(HLOOKUP($B25,Exits_4m_Tot,Age15_29, FALSE)/HLOOKUP("Total",Exits_Tot_Tot,Age15_29, FALSE),":"),":")</f>
        <v>:</v>
      </c>
      <c r="D25" s="53" t="str">
        <f>IF(ISNUMBER(HLOOKUP($B25,Exits_4m_Men,Age15_29, FALSE)),IFERROR(HLOOKUP($B25,Exits_4m_Men,Age15_29, FALSE)/HLOOKUP("Total",Exits_Tot_Men,Age15_29, FALSE),":"),":")</f>
        <v>:</v>
      </c>
      <c r="E25" s="54" t="str">
        <f>IF(ISNUMBER(HLOOKUP($B25,Exits_4m_Women,Age15_29, FALSE)),IFERROR(HLOOKUP($B25,Exits_4m_Women,Age15_29, FALSE)/HLOOKUP("Total",Exits_Tot_Women,Age15_29, FALSE),":"),":")</f>
        <v>:</v>
      </c>
      <c r="F25" s="52" t="str">
        <f>IF(ISNUMBER(HLOOKUP($B25,Exits_4m_Tot,Age15_19, FALSE)),IFERROR(HLOOKUP($B25,Exits_4m_Tot,Age15_19, FALSE)/HLOOKUP("Total",Exits_Tot_Tot,Age15_19, FALSE),":"),":")</f>
        <v>:</v>
      </c>
      <c r="G25" s="53" t="str">
        <f>IF(ISNUMBER(HLOOKUP($B25,Exits_4m_Men,Age15_19, FALSE)),IFERROR(HLOOKUP($B25,Exits_4m_Men,Age15_19, FALSE)/HLOOKUP("Total",Exits_Tot_Men,Age15_19, FALSE),":"),":")</f>
        <v>:</v>
      </c>
      <c r="H25" s="54" t="str">
        <f>IF(ISNUMBER(HLOOKUP($B25,Exits_4m_Women,Age15_19, FALSE)),IFERROR(HLOOKUP($B25,Exits_4m_Women,Age15_19, FALSE)/HLOOKUP("Total",Exits_Tot_Women,Age15_19, FALSE),":"),":")</f>
        <v>:</v>
      </c>
      <c r="I25" s="52" t="str">
        <f>IF(ISNUMBER(HLOOKUP($B25,Exits_4m_Tot,Age20_24, FALSE)),IFERROR(HLOOKUP($B25,Exits_4m_Tot,Age20_24, FALSE)/HLOOKUP("Total",Exits_Tot_Tot,Age20_24, FALSE),":"),":")</f>
        <v>:</v>
      </c>
      <c r="J25" s="53" t="str">
        <f>IF(ISNUMBER(HLOOKUP($B25,Exits_4m_Men,Age20_24, FALSE)),IFERROR(HLOOKUP($B25,Exits_4m_Men,Age20_24, FALSE)/HLOOKUP("Total",Exits_Tot_Men,Age20_24, FALSE),":"),":")</f>
        <v>:</v>
      </c>
      <c r="K25" s="54" t="str">
        <f>IF(ISNUMBER(HLOOKUP($B25,Exits_4m_Women,Age20_24, FALSE)),IFERROR(HLOOKUP($B25,Exits_4m_Women,Age20_24, FALSE)/HLOOKUP("Total",Exits_Tot_Women,Age20_24, FALSE),":"),":")</f>
        <v>:</v>
      </c>
      <c r="L25" s="52" t="str">
        <f>IF(ISNUMBER(HLOOKUP($B25,Exits_4m_Tot,Age25_29, FALSE)),IFERROR(HLOOKUP($B25,Exits_4m_Tot,Age25_29, FALSE)/HLOOKUP("Total",Exits_Tot_Tot,Age25_29, FALSE),":"),":")</f>
        <v>:</v>
      </c>
      <c r="M25" s="53" t="str">
        <f>IF(ISNUMBER(HLOOKUP($B25,Exits_4m_Men,Age25_29, FALSE)),IFERROR(HLOOKUP($B25,Exits_4m_Men,Age25_29, FALSE)/HLOOKUP("Total",Exits_Tot_Men,Age25_29, FALSE),":"),":")</f>
        <v>:</v>
      </c>
      <c r="N25" s="54" t="str">
        <f>IF(ISNUMBER(HLOOKUP($B25,Exits_4m_Women,Age25_29, FALSE)),IFERROR(HLOOKUP($B25,Exits_4m_Women,Age25_29, FALSE)/HLOOKUP("Total",Exits_Tot_Women,Age25_29, FALSE),":"),":")</f>
        <v>:</v>
      </c>
    </row>
    <row r="26" spans="1:14" x14ac:dyDescent="0.2">
      <c r="A26" s="50"/>
      <c r="B26" s="60" t="s">
        <v>18</v>
      </c>
      <c r="C26" s="52" t="str">
        <f>IF(ISNUMBER(HLOOKUP($B26,Exits_4m_Tot,Age15_29, FALSE)),IFERROR(HLOOKUP($B26,Exits_4m_Tot,Age15_29, FALSE)/HLOOKUP("Total",Exits_Tot_Tot,Age15_29, FALSE),":"),":")</f>
        <v>:</v>
      </c>
      <c r="D26" s="53" t="str">
        <f>IF(ISNUMBER(HLOOKUP($B26,Exits_4m_Men,Age15_29, FALSE)),IFERROR(HLOOKUP($B26,Exits_4m_Men,Age15_29, FALSE)/HLOOKUP("Total",Exits_Tot_Men,Age15_29, FALSE),":"),":")</f>
        <v>:</v>
      </c>
      <c r="E26" s="54" t="str">
        <f>IF(ISNUMBER(HLOOKUP($B26,Exits_4m_Women,Age15_29, FALSE)),IFERROR(HLOOKUP($B26,Exits_4m_Women,Age15_29, FALSE)/HLOOKUP("Total",Exits_Tot_Women,Age15_29, FALSE),":"),":")</f>
        <v>:</v>
      </c>
      <c r="F26" s="52" t="str">
        <f>IF(ISNUMBER(HLOOKUP($B26,Exits_4m_Tot,Age15_19, FALSE)),IFERROR(HLOOKUP($B26,Exits_4m_Tot,Age15_19, FALSE)/HLOOKUP("Total",Exits_Tot_Tot,Age15_19, FALSE),":"),":")</f>
        <v>:</v>
      </c>
      <c r="G26" s="53" t="str">
        <f>IF(ISNUMBER(HLOOKUP($B26,Exits_4m_Men,Age15_19, FALSE)),IFERROR(HLOOKUP($B26,Exits_4m_Men,Age15_19, FALSE)/HLOOKUP("Total",Exits_Tot_Men,Age15_19, FALSE),":"),":")</f>
        <v>:</v>
      </c>
      <c r="H26" s="54" t="str">
        <f>IF(ISNUMBER(HLOOKUP($B26,Exits_4m_Women,Age15_19, FALSE)),IFERROR(HLOOKUP($B26,Exits_4m_Women,Age15_19, FALSE)/HLOOKUP("Total",Exits_Tot_Women,Age15_19, FALSE),":"),":")</f>
        <v>:</v>
      </c>
      <c r="I26" s="52" t="str">
        <f>IF(ISNUMBER(HLOOKUP($B26,Exits_4m_Tot,Age20_24, FALSE)),IFERROR(HLOOKUP($B26,Exits_4m_Tot,Age20_24, FALSE)/HLOOKUP("Total",Exits_Tot_Tot,Age20_24, FALSE),":"),":")</f>
        <v>:</v>
      </c>
      <c r="J26" s="53" t="str">
        <f>IF(ISNUMBER(HLOOKUP($B26,Exits_4m_Men,Age20_24, FALSE)),IFERROR(HLOOKUP($B26,Exits_4m_Men,Age20_24, FALSE)/HLOOKUP("Total",Exits_Tot_Men,Age20_24, FALSE),":"),":")</f>
        <v>:</v>
      </c>
      <c r="K26" s="54" t="str">
        <f>IF(ISNUMBER(HLOOKUP($B26,Exits_4m_Women,Age20_24, FALSE)),IFERROR(HLOOKUP($B26,Exits_4m_Women,Age20_24, FALSE)/HLOOKUP("Total",Exits_Tot_Women,Age20_24, FALSE),":"),":")</f>
        <v>:</v>
      </c>
      <c r="L26" s="52" t="str">
        <f>IF(ISNUMBER(HLOOKUP($B26,Exits_4m_Tot,Age25_29, FALSE)),IFERROR(HLOOKUP($B26,Exits_4m_Tot,Age25_29, FALSE)/HLOOKUP("Total",Exits_Tot_Tot,Age25_29, FALSE),":"),":")</f>
        <v>:</v>
      </c>
      <c r="M26" s="53" t="str">
        <f>IF(ISNUMBER(HLOOKUP($B26,Exits_4m_Men,Age25_29, FALSE)),IFERROR(HLOOKUP($B26,Exits_4m_Men,Age25_29, FALSE)/HLOOKUP("Total",Exits_Tot_Men,Age25_29, FALSE),":"),":")</f>
        <v>:</v>
      </c>
      <c r="N26" s="54" t="str">
        <f>IF(ISNUMBER(HLOOKUP($B26,Exits_4m_Women,Age25_29, FALSE)),IFERROR(HLOOKUP($B26,Exits_4m_Women,Age25_29, FALSE)/HLOOKUP("Total",Exits_Tot_Women,Age25_29, FALSE),":"),":")</f>
        <v>:</v>
      </c>
    </row>
    <row r="27" spans="1:14" x14ac:dyDescent="0.2">
      <c r="A27" s="169" t="s">
        <v>19</v>
      </c>
      <c r="B27" s="171"/>
      <c r="C27" s="166" t="str">
        <f t="shared" ref="C27:E27" si="3">IF(COUNT(C28:C31)&gt;0,SUM(C28:C31),":")</f>
        <v>:</v>
      </c>
      <c r="D27" s="167" t="str">
        <f t="shared" si="3"/>
        <v>:</v>
      </c>
      <c r="E27" s="168" t="str">
        <f t="shared" si="3"/>
        <v>:</v>
      </c>
      <c r="F27" s="166" t="str">
        <f t="shared" ref="F27:K27" si="4">IF(COUNT(F28:F31)&gt;0,SUM(F28:F31),":")</f>
        <v>:</v>
      </c>
      <c r="G27" s="167" t="str">
        <f t="shared" si="4"/>
        <v>:</v>
      </c>
      <c r="H27" s="168" t="str">
        <f t="shared" si="4"/>
        <v>:</v>
      </c>
      <c r="I27" s="166" t="str">
        <f t="shared" si="4"/>
        <v>:</v>
      </c>
      <c r="J27" s="167" t="str">
        <f t="shared" si="4"/>
        <v>:</v>
      </c>
      <c r="K27" s="168" t="str">
        <f t="shared" si="4"/>
        <v>:</v>
      </c>
      <c r="L27" s="166" t="str">
        <f t="shared" ref="L27:N27" si="5">IF(COUNT(L28:L31)&gt;0,SUM(L28:L31),":")</f>
        <v>:</v>
      </c>
      <c r="M27" s="167" t="str">
        <f t="shared" si="5"/>
        <v>:</v>
      </c>
      <c r="N27" s="168" t="str">
        <f t="shared" si="5"/>
        <v>:</v>
      </c>
    </row>
    <row r="28" spans="1:14" x14ac:dyDescent="0.2">
      <c r="A28" s="50"/>
      <c r="B28" s="60" t="s">
        <v>22</v>
      </c>
      <c r="C28" s="52" t="str">
        <f>IF(ISNUMBER(HLOOKUP($B28,Exits_4m_Tot,Age15_29, FALSE)),IFERROR(HLOOKUP($B28,Exits_4m_Tot,Age15_29, FALSE)/HLOOKUP("Total",Exits_Tot_Tot,Age15_29, FALSE),":"),":")</f>
        <v>:</v>
      </c>
      <c r="D28" s="53" t="str">
        <f>IF(ISNUMBER(HLOOKUP($B28,Exits_4m_Men,Age15_29, FALSE)),IFERROR(HLOOKUP($B28,Exits_4m_Men,Age15_29, FALSE)/HLOOKUP("Total",Exits_Tot_Men,Age15_29, FALSE),":"),":")</f>
        <v>:</v>
      </c>
      <c r="E28" s="54" t="str">
        <f>IF(ISNUMBER(HLOOKUP($B28,Exits_4m_Women,Age15_29, FALSE)),IFERROR(HLOOKUP($B28,Exits_4m_Women,Age15_29, FALSE)/HLOOKUP("Total",Exits_Tot_Women,Age15_29, FALSE),":"),":")</f>
        <v>:</v>
      </c>
      <c r="F28" s="52" t="str">
        <f>IF(ISNUMBER(HLOOKUP($B28,Exits_4m_Tot,Age15_19, FALSE)),IFERROR(HLOOKUP($B28,Exits_4m_Tot,Age15_19, FALSE)/HLOOKUP("Total",Exits_Tot_Tot,Age15_19, FALSE),":"),":")</f>
        <v>:</v>
      </c>
      <c r="G28" s="53" t="str">
        <f>IF(ISNUMBER(HLOOKUP($B28,Exits_4m_Men,Age15_19, FALSE)),IFERROR(HLOOKUP($B28,Exits_4m_Men,Age15_19, FALSE)/HLOOKUP("Total",Exits_Tot_Men,Age15_19, FALSE),":"),":")</f>
        <v>:</v>
      </c>
      <c r="H28" s="54" t="str">
        <f>IF(ISNUMBER(HLOOKUP($B28,Exits_4m_Women,Age15_19, FALSE)),IFERROR(HLOOKUP($B28,Exits_4m_Women,Age15_19, FALSE)/HLOOKUP("Total",Exits_Tot_Women,Age15_19, FALSE),":"),":")</f>
        <v>:</v>
      </c>
      <c r="I28" s="52" t="str">
        <f>IF(ISNUMBER(HLOOKUP($B28,Exits_4m_Tot,Age20_24, FALSE)),IFERROR(HLOOKUP($B28,Exits_4m_Tot,Age20_24, FALSE)/HLOOKUP("Total",Exits_Tot_Tot,Age20_24, FALSE),":"),":")</f>
        <v>:</v>
      </c>
      <c r="J28" s="53" t="str">
        <f>IF(ISNUMBER(HLOOKUP($B28,Exits_4m_Men,Age20_24, FALSE)),IFERROR(HLOOKUP($B28,Exits_4m_Men,Age20_24, FALSE)/HLOOKUP("Total",Exits_Tot_Men,Age20_24, FALSE),":"),":")</f>
        <v>:</v>
      </c>
      <c r="K28" s="54" t="str">
        <f>IF(ISNUMBER(HLOOKUP($B28,Exits_4m_Women,Age20_24, FALSE)),IFERROR(HLOOKUP($B28,Exits_4m_Women,Age20_24, FALSE)/HLOOKUP("Total",Exits_Tot_Women,Age20_24, FALSE),":"),":")</f>
        <v>:</v>
      </c>
      <c r="L28" s="52" t="str">
        <f>IF(ISNUMBER(HLOOKUP($B28,Exits_4m_Tot,Age25_29, FALSE)),IFERROR(HLOOKUP($B28,Exits_4m_Tot,Age25_29, FALSE)/HLOOKUP("Total",Exits_Tot_Tot,Age25_29, FALSE),":"),":")</f>
        <v>:</v>
      </c>
      <c r="M28" s="53" t="str">
        <f>IF(ISNUMBER(HLOOKUP($B28,Exits_4m_Men,Age25_29, FALSE)),IFERROR(HLOOKUP($B28,Exits_4m_Men,Age25_29, FALSE)/HLOOKUP("Total",Exits_Tot_Men,Age25_29, FALSE),":"),":")</f>
        <v>:</v>
      </c>
      <c r="N28" s="54" t="str">
        <f>IF(ISNUMBER(HLOOKUP($B28,Exits_4m_Women,Age25_29, FALSE)),IFERROR(HLOOKUP($B28,Exits_4m_Women,Age25_29, FALSE)/HLOOKUP("Total",Exits_Tot_Women,Age25_29, FALSE),":"),":")</f>
        <v>:</v>
      </c>
    </row>
    <row r="29" spans="1:14" x14ac:dyDescent="0.2">
      <c r="A29" s="50"/>
      <c r="B29" s="60" t="s">
        <v>26</v>
      </c>
      <c r="C29" s="52" t="str">
        <f>IF(ISNUMBER(HLOOKUP($B29,Exits_4m_Tot,Age15_29, FALSE)),IFERROR(HLOOKUP($B29,Exits_4m_Tot,Age15_29, FALSE)/HLOOKUP("Total",Exits_Tot_Tot,Age15_29, FALSE),":"),":")</f>
        <v>:</v>
      </c>
      <c r="D29" s="53" t="str">
        <f>IF(ISNUMBER(HLOOKUP($B29,Exits_4m_Men,Age15_29, FALSE)),IFERROR(HLOOKUP($B29,Exits_4m_Men,Age15_29, FALSE)/HLOOKUP("Total",Exits_Tot_Men,Age15_29, FALSE),":"),":")</f>
        <v>:</v>
      </c>
      <c r="E29" s="54" t="str">
        <f>IF(ISNUMBER(HLOOKUP($B29,Exits_4m_Women,Age15_29, FALSE)),IFERROR(HLOOKUP($B29,Exits_4m_Women,Age15_29, FALSE)/HLOOKUP("Total",Exits_Tot_Women,Age15_29, FALSE),":"),":")</f>
        <v>:</v>
      </c>
      <c r="F29" s="52" t="str">
        <f>IF(ISNUMBER(HLOOKUP($B29,Exits_4m_Tot,Age15_19, FALSE)),IFERROR(HLOOKUP($B29,Exits_4m_Tot,Age15_19, FALSE)/HLOOKUP("Total",Exits_Tot_Tot,Age15_19, FALSE),":"),":")</f>
        <v>:</v>
      </c>
      <c r="G29" s="53" t="str">
        <f>IF(ISNUMBER(HLOOKUP($B29,Exits_4m_Men,Age15_19, FALSE)),IFERROR(HLOOKUP($B29,Exits_4m_Men,Age15_19, FALSE)/HLOOKUP("Total",Exits_Tot_Men,Age15_19, FALSE),":"),":")</f>
        <v>:</v>
      </c>
      <c r="H29" s="54" t="str">
        <f>IF(ISNUMBER(HLOOKUP($B29,Exits_4m_Women,Age15_19, FALSE)),IFERROR(HLOOKUP($B29,Exits_4m_Women,Age15_19, FALSE)/HLOOKUP("Total",Exits_Tot_Women,Age15_19, FALSE),":"),":")</f>
        <v>:</v>
      </c>
      <c r="I29" s="52" t="str">
        <f>IF(ISNUMBER(HLOOKUP($B29,Exits_4m_Tot,Age20_24, FALSE)),IFERROR(HLOOKUP($B29,Exits_4m_Tot,Age20_24, FALSE)/HLOOKUP("Total",Exits_Tot_Tot,Age20_24, FALSE),":"),":")</f>
        <v>:</v>
      </c>
      <c r="J29" s="53" t="str">
        <f>IF(ISNUMBER(HLOOKUP($B29,Exits_4m_Men,Age20_24, FALSE)),IFERROR(HLOOKUP($B29,Exits_4m_Men,Age20_24, FALSE)/HLOOKUP("Total",Exits_Tot_Men,Age20_24, FALSE),":"),":")</f>
        <v>:</v>
      </c>
      <c r="K29" s="54" t="str">
        <f>IF(ISNUMBER(HLOOKUP($B29,Exits_4m_Women,Age20_24, FALSE)),IFERROR(HLOOKUP($B29,Exits_4m_Women,Age20_24, FALSE)/HLOOKUP("Total",Exits_Tot_Women,Age20_24, FALSE),":"),":")</f>
        <v>:</v>
      </c>
      <c r="L29" s="52" t="str">
        <f>IF(ISNUMBER(HLOOKUP($B29,Exits_4m_Tot,Age25_29, FALSE)),IFERROR(HLOOKUP($B29,Exits_4m_Tot,Age25_29, FALSE)/HLOOKUP("Total",Exits_Tot_Tot,Age25_29, FALSE),":"),":")</f>
        <v>:</v>
      </c>
      <c r="M29" s="53" t="str">
        <f>IF(ISNUMBER(HLOOKUP($B29,Exits_4m_Men,Age25_29, FALSE)),IFERROR(HLOOKUP($B29,Exits_4m_Men,Age25_29, FALSE)/HLOOKUP("Total",Exits_Tot_Men,Age25_29, FALSE),":"),":")</f>
        <v>:</v>
      </c>
      <c r="N29" s="54" t="str">
        <f>IF(ISNUMBER(HLOOKUP($B29,Exits_4m_Women,Age25_29, FALSE)),IFERROR(HLOOKUP($B29,Exits_4m_Women,Age25_29, FALSE)/HLOOKUP("Total",Exits_Tot_Women,Age25_29, FALSE),":"),":")</f>
        <v>:</v>
      </c>
    </row>
    <row r="30" spans="1:14" x14ac:dyDescent="0.2">
      <c r="A30" s="50"/>
      <c r="B30" s="60" t="s">
        <v>27</v>
      </c>
      <c r="C30" s="52" t="str">
        <f>IF(ISNUMBER(HLOOKUP($B30,Exits_4m_Tot,Age15_29, FALSE)),IFERROR(HLOOKUP($B30,Exits_4m_Tot,Age15_29, FALSE)/HLOOKUP("Total",Exits_Tot_Tot,Age15_29, FALSE),":"),":")</f>
        <v>:</v>
      </c>
      <c r="D30" s="53" t="str">
        <f>IF(ISNUMBER(HLOOKUP($B30,Exits_4m_Men,Age15_29, FALSE)),IFERROR(HLOOKUP($B30,Exits_4m_Men,Age15_29, FALSE)/HLOOKUP("Total",Exits_Tot_Men,Age15_29, FALSE),":"),":")</f>
        <v>:</v>
      </c>
      <c r="E30" s="54" t="str">
        <f>IF(ISNUMBER(HLOOKUP($B30,Exits_4m_Women,Age15_29, FALSE)),IFERROR(HLOOKUP($B30,Exits_4m_Women,Age15_29, FALSE)/HLOOKUP("Total",Exits_Tot_Women,Age15_29, FALSE),":"),":")</f>
        <v>:</v>
      </c>
      <c r="F30" s="52" t="str">
        <f>IF(ISNUMBER(HLOOKUP($B30,Exits_4m_Tot,Age15_19, FALSE)),IFERROR(HLOOKUP($B30,Exits_4m_Tot,Age15_19, FALSE)/HLOOKUP("Total",Exits_Tot_Tot,Age15_19, FALSE),":"),":")</f>
        <v>:</v>
      </c>
      <c r="G30" s="53" t="str">
        <f>IF(ISNUMBER(HLOOKUP($B30,Exits_4m_Men,Age15_19, FALSE)),IFERROR(HLOOKUP($B30,Exits_4m_Men,Age15_19, FALSE)/HLOOKUP("Total",Exits_Tot_Men,Age15_19, FALSE),":"),":")</f>
        <v>:</v>
      </c>
      <c r="H30" s="54" t="str">
        <f>IF(ISNUMBER(HLOOKUP($B30,Exits_4m_Women,Age15_19, FALSE)),IFERROR(HLOOKUP($B30,Exits_4m_Women,Age15_19, FALSE)/HLOOKUP("Total",Exits_Tot_Women,Age15_19, FALSE),":"),":")</f>
        <v>:</v>
      </c>
      <c r="I30" s="52" t="str">
        <f>IF(ISNUMBER(HLOOKUP($B30,Exits_4m_Tot,Age20_24, FALSE)),IFERROR(HLOOKUP($B30,Exits_4m_Tot,Age20_24, FALSE)/HLOOKUP("Total",Exits_Tot_Tot,Age20_24, FALSE),":"),":")</f>
        <v>:</v>
      </c>
      <c r="J30" s="53" t="str">
        <f>IF(ISNUMBER(HLOOKUP($B30,Exits_4m_Men,Age20_24, FALSE)),IFERROR(HLOOKUP($B30,Exits_4m_Men,Age20_24, FALSE)/HLOOKUP("Total",Exits_Tot_Men,Age20_24, FALSE),":"),":")</f>
        <v>:</v>
      </c>
      <c r="K30" s="54" t="str">
        <f>IF(ISNUMBER(HLOOKUP($B30,Exits_4m_Women,Age20_24, FALSE)),IFERROR(HLOOKUP($B30,Exits_4m_Women,Age20_24, FALSE)/HLOOKUP("Total",Exits_Tot_Women,Age20_24, FALSE),":"),":")</f>
        <v>:</v>
      </c>
      <c r="L30" s="52" t="str">
        <f>IF(ISNUMBER(HLOOKUP($B30,Exits_4m_Tot,Age25_29, FALSE)),IFERROR(HLOOKUP($B30,Exits_4m_Tot,Age25_29, FALSE)/HLOOKUP("Total",Exits_Tot_Tot,Age25_29, FALSE),":"),":")</f>
        <v>:</v>
      </c>
      <c r="M30" s="53" t="str">
        <f>IF(ISNUMBER(HLOOKUP($B30,Exits_4m_Men,Age25_29, FALSE)),IFERROR(HLOOKUP($B30,Exits_4m_Men,Age25_29, FALSE)/HLOOKUP("Total",Exits_Tot_Men,Age25_29, FALSE),":"),":")</f>
        <v>:</v>
      </c>
      <c r="N30" s="54" t="str">
        <f>IF(ISNUMBER(HLOOKUP($B30,Exits_4m_Women,Age25_29, FALSE)),IFERROR(HLOOKUP($B30,Exits_4m_Women,Age25_29, FALSE)/HLOOKUP("Total",Exits_Tot_Women,Age25_29, FALSE),":"),":")</f>
        <v>:</v>
      </c>
    </row>
    <row r="31" spans="1:14" ht="16" thickBot="1" x14ac:dyDescent="0.25">
      <c r="A31" s="55"/>
      <c r="B31" s="61" t="s">
        <v>28</v>
      </c>
      <c r="C31" s="57" t="str">
        <f>IF(ISNUMBER(HLOOKUP($B31,Exits_4m_Tot,Age15_29, FALSE)),IFERROR(HLOOKUP($B31,Exits_4m_Tot,Age15_29, FALSE)/HLOOKUP("Total",Exits_Tot_Tot,Age15_29, FALSE),":"),":")</f>
        <v>:</v>
      </c>
      <c r="D31" s="58" t="str">
        <f>IF(ISNUMBER(HLOOKUP($B31,Exits_4m_Men,Age15_29, FALSE)),IFERROR(HLOOKUP($B31,Exits_4m_Men,Age15_29, FALSE)/HLOOKUP("Total",Exits_Tot_Men,Age15_29, FALSE),":"),":")</f>
        <v>:</v>
      </c>
      <c r="E31" s="59" t="str">
        <f>IF(ISNUMBER(HLOOKUP($B31,Exits_4m_Women,Age15_29, FALSE)),IFERROR(HLOOKUP($B31,Exits_4m_Women,Age15_29, FALSE)/HLOOKUP("Total",Exits_Tot_Women,Age15_29, FALSE),":"),":")</f>
        <v>:</v>
      </c>
      <c r="F31" s="57" t="str">
        <f>IF(ISNUMBER(HLOOKUP($B31,Exits_4m_Tot,Age15_19, FALSE)),IFERROR(HLOOKUP($B31,Exits_4m_Tot,Age15_19, FALSE)/HLOOKUP("Total",Exits_Tot_Tot,Age15_19, FALSE),":"),":")</f>
        <v>:</v>
      </c>
      <c r="G31" s="58" t="str">
        <f>IF(ISNUMBER(HLOOKUP($B31,Exits_4m_Men,Age15_19, FALSE)),IFERROR(HLOOKUP($B31,Exits_4m_Men,Age15_19, FALSE)/HLOOKUP("Total",Exits_Tot_Men,Age15_19, FALSE),":"),":")</f>
        <v>:</v>
      </c>
      <c r="H31" s="59" t="str">
        <f>IF(ISNUMBER(HLOOKUP($B31,Exits_4m_Women,Age15_19, FALSE)),IFERROR(HLOOKUP($B31,Exits_4m_Women,Age15_19, FALSE)/HLOOKUP("Total",Exits_Tot_Women,Age15_19, FALSE),":"),":")</f>
        <v>:</v>
      </c>
      <c r="I31" s="57" t="str">
        <f>IF(ISNUMBER(HLOOKUP($B31,Exits_4m_Tot,Age20_24, FALSE)),IFERROR(HLOOKUP($B31,Exits_4m_Tot,Age20_24, FALSE)/HLOOKUP("Total",Exits_Tot_Tot,Age20_24, FALSE),":"),":")</f>
        <v>:</v>
      </c>
      <c r="J31" s="58" t="str">
        <f>IF(ISNUMBER(HLOOKUP($B31,Exits_4m_Men,Age20_24, FALSE)),IFERROR(HLOOKUP($B31,Exits_4m_Men,Age20_24, FALSE)/HLOOKUP("Total",Exits_Tot_Men,Age20_24, FALSE),":"),":")</f>
        <v>:</v>
      </c>
      <c r="K31" s="59" t="str">
        <f>IF(ISNUMBER(HLOOKUP($B31,Exits_4m_Women,Age20_24, FALSE)),IFERROR(HLOOKUP($B31,Exits_4m_Women,Age20_24, FALSE)/HLOOKUP("Total",Exits_Tot_Women,Age20_24, FALSE),":"),":")</f>
        <v>:</v>
      </c>
      <c r="L31" s="57" t="str">
        <f>IF(ISNUMBER(HLOOKUP($B31,Exits_4m_Tot,Age25_29, FALSE)),IFERROR(HLOOKUP($B31,Exits_4m_Tot,Age25_29, FALSE)/HLOOKUP("Total",Exits_Tot_Tot,Age25_29, FALSE),":"),":")</f>
        <v>:</v>
      </c>
      <c r="M31" s="58" t="str">
        <f>IF(ISNUMBER(HLOOKUP($B31,Exits_4m_Men,Age25_29, FALSE)),IFERROR(HLOOKUP($B31,Exits_4m_Men,Age25_29, FALSE)/HLOOKUP("Total",Exits_Tot_Men,Age25_29, FALSE),":"),":")</f>
        <v>:</v>
      </c>
      <c r="N31" s="59" t="str">
        <f>IF(ISNUMBER(HLOOKUP($B31,Exits_4m_Women,Age25_29, FALSE)),IFERROR(HLOOKUP($B31,Exits_4m_Women,Age25_29, FALSE)/HLOOKUP("Total",Exits_Tot_Women,Age25_29, FALSE),":"),":")</f>
        <v>:</v>
      </c>
    </row>
    <row r="32" spans="1:14" ht="16" thickTop="1" x14ac:dyDescent="0.2"/>
    <row r="34" spans="1:14" s="44" customFormat="1" x14ac:dyDescent="0.2">
      <c r="A34" s="44" t="s">
        <v>180</v>
      </c>
    </row>
    <row r="36" spans="1:14" s="45" customFormat="1" x14ac:dyDescent="0.2">
      <c r="A36" s="45" t="s">
        <v>203</v>
      </c>
      <c r="C36" s="45" t="s">
        <v>181</v>
      </c>
    </row>
    <row r="37" spans="1:14" s="45" customFormat="1" ht="45.75" customHeight="1" x14ac:dyDescent="0.2">
      <c r="C37" s="346" t="s">
        <v>581</v>
      </c>
      <c r="D37" s="346"/>
      <c r="E37" s="346"/>
      <c r="F37" s="346"/>
      <c r="G37" s="346"/>
      <c r="H37" s="346"/>
      <c r="I37" s="346"/>
      <c r="J37" s="346"/>
      <c r="K37" s="346"/>
    </row>
    <row r="38" spans="1:14" ht="16" thickBot="1" x14ac:dyDescent="0.25"/>
    <row r="39" spans="1:14" ht="15.75" customHeight="1" thickTop="1" x14ac:dyDescent="0.2">
      <c r="A39" s="352" t="s">
        <v>184</v>
      </c>
      <c r="B39" s="353"/>
      <c r="C39" s="347" t="s">
        <v>228</v>
      </c>
      <c r="D39" s="348"/>
      <c r="E39" s="349"/>
      <c r="F39" s="347" t="s">
        <v>11</v>
      </c>
      <c r="G39" s="348"/>
      <c r="H39" s="349"/>
      <c r="I39" s="356" t="s">
        <v>13</v>
      </c>
      <c r="J39" s="348"/>
      <c r="K39" s="349"/>
      <c r="L39" s="347" t="s">
        <v>227</v>
      </c>
      <c r="M39" s="348"/>
      <c r="N39" s="350"/>
    </row>
    <row r="40" spans="1:14" x14ac:dyDescent="0.2">
      <c r="A40" s="354"/>
      <c r="B40" s="355"/>
      <c r="C40" s="49" t="s">
        <v>3</v>
      </c>
      <c r="D40" s="47" t="s">
        <v>4</v>
      </c>
      <c r="E40" s="48" t="s">
        <v>5</v>
      </c>
      <c r="F40" s="49" t="s">
        <v>3</v>
      </c>
      <c r="G40" s="47" t="s">
        <v>4</v>
      </c>
      <c r="H40" s="48" t="s">
        <v>5</v>
      </c>
      <c r="I40" s="46" t="s">
        <v>3</v>
      </c>
      <c r="J40" s="47" t="s">
        <v>4</v>
      </c>
      <c r="K40" s="48" t="s">
        <v>5</v>
      </c>
      <c r="L40" s="49" t="s">
        <v>3</v>
      </c>
      <c r="M40" s="47" t="s">
        <v>4</v>
      </c>
      <c r="N40" s="164" t="s">
        <v>5</v>
      </c>
    </row>
    <row r="41" spans="1:14" x14ac:dyDescent="0.2">
      <c r="A41" s="98" t="s">
        <v>185</v>
      </c>
      <c r="B41" s="99"/>
      <c r="C41" s="166" t="str">
        <f t="shared" ref="C41:E41" si="6">IF(COUNT(C42:C45)&gt;0,SUM(C42:C45),":")</f>
        <v>:</v>
      </c>
      <c r="D41" s="167" t="str">
        <f t="shared" si="6"/>
        <v>:</v>
      </c>
      <c r="E41" s="168" t="str">
        <f t="shared" si="6"/>
        <v>:</v>
      </c>
      <c r="F41" s="166" t="str">
        <f t="shared" ref="F41:K41" si="7">IF(COUNT(F42:F45)&gt;0,SUM(F42:F45),":")</f>
        <v>:</v>
      </c>
      <c r="G41" s="167" t="str">
        <f t="shared" si="7"/>
        <v>:</v>
      </c>
      <c r="H41" s="168" t="str">
        <f t="shared" si="7"/>
        <v>:</v>
      </c>
      <c r="I41" s="166" t="str">
        <f t="shared" si="7"/>
        <v>:</v>
      </c>
      <c r="J41" s="167" t="str">
        <f t="shared" si="7"/>
        <v>:</v>
      </c>
      <c r="K41" s="168" t="str">
        <f t="shared" si="7"/>
        <v>:</v>
      </c>
      <c r="L41" s="166" t="str">
        <f t="shared" ref="L41:N41" si="8">IF(COUNT(L42:L45)&gt;0,SUM(L42:L45),":")</f>
        <v>:</v>
      </c>
      <c r="M41" s="167" t="str">
        <f t="shared" si="8"/>
        <v>:</v>
      </c>
      <c r="N41" s="168" t="str">
        <f t="shared" si="8"/>
        <v>:</v>
      </c>
    </row>
    <row r="42" spans="1:14" outlineLevel="1" x14ac:dyDescent="0.2">
      <c r="A42" s="50"/>
      <c r="B42" s="60" t="s">
        <v>15</v>
      </c>
      <c r="C42" s="52" t="str">
        <f>IFERROR(HLOOKUP($B42,FUT_6_Tot_Tot,Age15_29, FALSE)/(HLOOKUP("Total",FUT_6_Tot_Tot,Age15_29, FALSE)-HLOOKUP("Not applicable",FUT_6_Tot_Tot,Age15_29, FALSE)),":")</f>
        <v>:</v>
      </c>
      <c r="D42" s="53" t="str">
        <f>IFERROR(HLOOKUP($B42,FUT_6_Tot_Men,Age15_29, FALSE)/(HLOOKUP("Total",FUT_6_Tot_Men,Age15_29, FALSE)-HLOOKUP("Not applicable",FUT_6_Tot_Men,Age15_29, FALSE)),":")</f>
        <v>:</v>
      </c>
      <c r="E42" s="54" t="str">
        <f>IFERROR(HLOOKUP($B42,FUT_6_Tot_Women,Age15_29, FALSE)/(HLOOKUP("Total",FUT_6_Tot_Women,Age15_29, FALSE)-HLOOKUP("Not applicable",FUT_6_Tot_Women,Age15_29, FALSE)),":")</f>
        <v>:</v>
      </c>
      <c r="F42" s="52" t="str">
        <f>IFERROR(HLOOKUP($B42,FUT_6_Tot_Tot,Age15_19, FALSE)/(HLOOKUP("Total",FUT_6_Tot_Tot,Age15_19, FALSE)-HLOOKUP("Not applicable",FUT_6_Tot_Tot,Age15_19, FALSE)),":")</f>
        <v>:</v>
      </c>
      <c r="G42" s="53" t="str">
        <f>IFERROR(HLOOKUP($B42,FUT_6_Tot_Men,Age15_19, FALSE)/(HLOOKUP("Total",FUT_6_Tot_Men,Age15_19, FALSE)-HLOOKUP("Not applicable",FUT_6_Tot_Men,Age15_19, FALSE)),":")</f>
        <v>:</v>
      </c>
      <c r="H42" s="54" t="str">
        <f>IFERROR(HLOOKUP($B42,FUT_6_Tot_Women,Age15_19, FALSE)/(HLOOKUP("Total",FUT_6_Tot_Women,Age15_19, FALSE)-HLOOKUP("Not applicable",FUT_6_Tot_Women,Age15_19, FALSE)),":")</f>
        <v>:</v>
      </c>
      <c r="I42" s="52" t="str">
        <f>IFERROR(HLOOKUP($B42,FUT_6_Tot_Tot,Age20_24, FALSE)/(HLOOKUP("Total",FUT_6_Tot_Tot,Age20_24, FALSE)-HLOOKUP("Not applicable",FUT_6_Tot_Tot,Age20_24, FALSE)),":")</f>
        <v>:</v>
      </c>
      <c r="J42" s="53" t="str">
        <f>IFERROR(HLOOKUP($B42,FUT_6_Tot_Men,Age20_24, FALSE)/(HLOOKUP("Total",FUT_6_Tot_Men,Age20_24, FALSE)-HLOOKUP("Not applicable",FUT_6_Tot_Men,Age20_24, FALSE)),":")</f>
        <v>:</v>
      </c>
      <c r="K42" s="54" t="str">
        <f>IFERROR(HLOOKUP($B42,FUT_6_Tot_Women,Age20_24, FALSE)/(HLOOKUP("Total",FUT_6_Tot_Women,Age20_24, FALSE)-HLOOKUP("Not applicable",FUT_6_Tot_Women,Age20_24, FALSE)),":")</f>
        <v>:</v>
      </c>
      <c r="L42" s="52" t="str">
        <f>IFERROR(HLOOKUP($B42,FUT_6_Tot_Tot,Age25_29, FALSE)/(HLOOKUP("Total",FUT_6_Tot_Tot,Age25_29, FALSE)-HLOOKUP("Not applicable",FUT_6_Tot_Tot,Age25_29, FALSE)),":")</f>
        <v>:</v>
      </c>
      <c r="M42" s="53" t="str">
        <f>IFERROR(HLOOKUP($B42,FUT_6_Tot_Men,Age25_29, FALSE)/(HLOOKUP("Total",FUT_6_Tot_Men,Age25_29, FALSE)-HLOOKUP("Not applicable",FUT_6_Tot_Men,Age25_29, FALSE)),":")</f>
        <v>:</v>
      </c>
      <c r="N42" s="54" t="str">
        <f>IFERROR(HLOOKUP($B42,FUT_6_Tot_Women,Age25_29, FALSE)/(HLOOKUP("Total",FUT_6_Tot_Women,Age25_29, FALSE)-HLOOKUP("Not applicable",FUT_6_Tot_Women,Age25_29, FALSE)),":")</f>
        <v>:</v>
      </c>
    </row>
    <row r="43" spans="1:14" outlineLevel="1" x14ac:dyDescent="0.2">
      <c r="A43" s="50"/>
      <c r="B43" s="60" t="s">
        <v>16</v>
      </c>
      <c r="C43" s="52" t="str">
        <f>IFERROR(HLOOKUP($B43,FUT_6_Tot_Tot,Age15_29, FALSE)/(HLOOKUP("Total",FUT_6_Tot_Tot,Age15_29, FALSE)-HLOOKUP("Not applicable",FUT_6_Tot_Tot,Age15_29, FALSE)),":")</f>
        <v>:</v>
      </c>
      <c r="D43" s="53" t="str">
        <f>IFERROR(HLOOKUP($B43,FUT_6_Tot_Men,Age15_29, FALSE)/(HLOOKUP("Total",FUT_6_Tot_Men,Age15_29, FALSE)-HLOOKUP("Not applicable",FUT_6_Tot_Men,Age15_29, FALSE)),":")</f>
        <v>:</v>
      </c>
      <c r="E43" s="54" t="str">
        <f>IFERROR(HLOOKUP($B43,FUT_6_Tot_Women,Age15_29, FALSE)/(HLOOKUP("Total",FUT_6_Tot_Women,Age15_29, FALSE)-HLOOKUP("Not applicable",FUT_6_Tot_Women,Age15_29, FALSE)),":")</f>
        <v>:</v>
      </c>
      <c r="F43" s="52" t="str">
        <f>IFERROR(HLOOKUP($B43,FUT_6_Tot_Tot,Age15_19, FALSE)/(HLOOKUP("Total",FUT_6_Tot_Tot,Age15_19, FALSE)-HLOOKUP("Not applicable",FUT_6_Tot_Tot,Age15_19, FALSE)),":")</f>
        <v>:</v>
      </c>
      <c r="G43" s="53" t="str">
        <f>IFERROR(HLOOKUP($B43,FUT_6_Tot_Men,Age15_19, FALSE)/(HLOOKUP("Total",FUT_6_Tot_Men,Age15_19, FALSE)-HLOOKUP("Not applicable",FUT_6_Tot_Men,Age15_19, FALSE)),":")</f>
        <v>:</v>
      </c>
      <c r="H43" s="54" t="str">
        <f>IFERROR(HLOOKUP($B43,FUT_6_Tot_Women,Age15_19, FALSE)/(HLOOKUP("Total",FUT_6_Tot_Women,Age15_19, FALSE)-HLOOKUP("Not applicable",FUT_6_Tot_Women,Age15_19, FALSE)),":")</f>
        <v>:</v>
      </c>
      <c r="I43" s="52" t="str">
        <f>IFERROR(HLOOKUP($B43,FUT_6_Tot_Tot,Age20_24, FALSE)/(HLOOKUP("Total",FUT_6_Tot_Tot,Age20_24, FALSE)-HLOOKUP("Not applicable",FUT_6_Tot_Tot,Age20_24, FALSE)),":")</f>
        <v>:</v>
      </c>
      <c r="J43" s="53" t="str">
        <f>IFERROR(HLOOKUP($B43,FUT_6_Tot_Men,Age20_24, FALSE)/(HLOOKUP("Total",FUT_6_Tot_Men,Age20_24, FALSE)-HLOOKUP("Not applicable",FUT_6_Tot_Men,Age20_24, FALSE)),":")</f>
        <v>:</v>
      </c>
      <c r="K43" s="54" t="str">
        <f>IFERROR(HLOOKUP($B43,FUT_6_Tot_Women,Age20_24, FALSE)/(HLOOKUP("Total",FUT_6_Tot_Women,Age20_24, FALSE)-HLOOKUP("Not applicable",FUT_6_Tot_Women,Age20_24, FALSE)),":")</f>
        <v>:</v>
      </c>
      <c r="L43" s="52" t="str">
        <f>IFERROR(HLOOKUP($B43,FUT_6_Tot_Tot,Age25_29, FALSE)/(HLOOKUP("Total",FUT_6_Tot_Tot,Age25_29, FALSE)-HLOOKUP("Not applicable",FUT_6_Tot_Tot,Age25_29, FALSE)),":")</f>
        <v>:</v>
      </c>
      <c r="M43" s="53" t="str">
        <f>IFERROR(HLOOKUP($B43,FUT_6_Tot_Men,Age25_29, FALSE)/(HLOOKUP("Total",FUT_6_Tot_Men,Age25_29, FALSE)-HLOOKUP("Not applicable",FUT_6_Tot_Men,Age25_29, FALSE)),":")</f>
        <v>:</v>
      </c>
      <c r="N43" s="54" t="str">
        <f>IFERROR(HLOOKUP($B43,FUT_6_Tot_Women,Age25_29, FALSE)/(HLOOKUP("Total",FUT_6_Tot_Women,Age25_29, FALSE)-HLOOKUP("Not applicable",FUT_6_Tot_Women,Age25_29, FALSE)),":")</f>
        <v>:</v>
      </c>
    </row>
    <row r="44" spans="1:14" outlineLevel="1" x14ac:dyDescent="0.2">
      <c r="A44" s="50"/>
      <c r="B44" s="60" t="s">
        <v>17</v>
      </c>
      <c r="C44" s="52" t="str">
        <f>IFERROR(HLOOKUP($B44,FUT_6_Tot_Tot,Age15_29, FALSE)/(HLOOKUP("Total",FUT_6_Tot_Tot,Age15_29, FALSE)-HLOOKUP("Not applicable",FUT_6_Tot_Tot,Age15_29, FALSE)),":")</f>
        <v>:</v>
      </c>
      <c r="D44" s="53" t="str">
        <f>IFERROR(HLOOKUP($B44,FUT_6_Tot_Men,Age15_29, FALSE)/(HLOOKUP("Total",FUT_6_Tot_Men,Age15_29, FALSE)-HLOOKUP("Not applicable",FUT_6_Tot_Men,Age15_29, FALSE)),":")</f>
        <v>:</v>
      </c>
      <c r="E44" s="54" t="str">
        <f>IFERROR(HLOOKUP($B44,FUT_6_Tot_Women,Age15_29, FALSE)/(HLOOKUP("Total",FUT_6_Tot_Women,Age15_29, FALSE)-HLOOKUP("Not applicable",FUT_6_Tot_Women,Age15_29, FALSE)),":")</f>
        <v>:</v>
      </c>
      <c r="F44" s="52" t="str">
        <f>IFERROR(HLOOKUP($B44,FUT_6_Tot_Tot,Age15_19, FALSE)/(HLOOKUP("Total",FUT_6_Tot_Tot,Age15_19, FALSE)-HLOOKUP("Not applicable",FUT_6_Tot_Tot,Age15_19, FALSE)),":")</f>
        <v>:</v>
      </c>
      <c r="G44" s="53" t="str">
        <f>IFERROR(HLOOKUP($B44,FUT_6_Tot_Men,Age15_19, FALSE)/(HLOOKUP("Total",FUT_6_Tot_Men,Age15_19, FALSE)-HLOOKUP("Not applicable",FUT_6_Tot_Men,Age15_19, FALSE)),":")</f>
        <v>:</v>
      </c>
      <c r="H44" s="54" t="str">
        <f>IFERROR(HLOOKUP($B44,FUT_6_Tot_Women,Age15_19, FALSE)/(HLOOKUP("Total",FUT_6_Tot_Women,Age15_19, FALSE)-HLOOKUP("Not applicable",FUT_6_Tot_Women,Age15_19, FALSE)),":")</f>
        <v>:</v>
      </c>
      <c r="I44" s="52" t="str">
        <f>IFERROR(HLOOKUP($B44,FUT_6_Tot_Tot,Age20_24, FALSE)/(HLOOKUP("Total",FUT_6_Tot_Tot,Age20_24, FALSE)-HLOOKUP("Not applicable",FUT_6_Tot_Tot,Age20_24, FALSE)),":")</f>
        <v>:</v>
      </c>
      <c r="J44" s="53" t="str">
        <f>IFERROR(HLOOKUP($B44,FUT_6_Tot_Men,Age20_24, FALSE)/(HLOOKUP("Total",FUT_6_Tot_Men,Age20_24, FALSE)-HLOOKUP("Not applicable",FUT_6_Tot_Men,Age20_24, FALSE)),":")</f>
        <v>:</v>
      </c>
      <c r="K44" s="54" t="str">
        <f>IFERROR(HLOOKUP($B44,FUT_6_Tot_Women,Age20_24, FALSE)/(HLOOKUP("Total",FUT_6_Tot_Women,Age20_24, FALSE)-HLOOKUP("Not applicable",FUT_6_Tot_Women,Age20_24, FALSE)),":")</f>
        <v>:</v>
      </c>
      <c r="L44" s="52" t="str">
        <f>IFERROR(HLOOKUP($B44,FUT_6_Tot_Tot,Age25_29, FALSE)/(HLOOKUP("Total",FUT_6_Tot_Tot,Age25_29, FALSE)-HLOOKUP("Not applicable",FUT_6_Tot_Tot,Age25_29, FALSE)),":")</f>
        <v>:</v>
      </c>
      <c r="M44" s="53" t="str">
        <f>IFERROR(HLOOKUP($B44,FUT_6_Tot_Men,Age25_29, FALSE)/(HLOOKUP("Total",FUT_6_Tot_Men,Age25_29, FALSE)-HLOOKUP("Not applicable",FUT_6_Tot_Men,Age25_29, FALSE)),":")</f>
        <v>:</v>
      </c>
      <c r="N44" s="54" t="str">
        <f>IFERROR(HLOOKUP($B44,FUT_6_Tot_Women,Age25_29, FALSE)/(HLOOKUP("Total",FUT_6_Tot_Women,Age25_29, FALSE)-HLOOKUP("Not applicable",FUT_6_Tot_Women,Age25_29, FALSE)),":")</f>
        <v>:</v>
      </c>
    </row>
    <row r="45" spans="1:14" outlineLevel="1" x14ac:dyDescent="0.2">
      <c r="A45" s="50"/>
      <c r="B45" s="60" t="s">
        <v>18</v>
      </c>
      <c r="C45" s="52" t="str">
        <f>IFERROR(HLOOKUP($B45,FUT_6_Tot_Tot,Age15_29, FALSE)/(HLOOKUP("Total",FUT_6_Tot_Tot,Age15_29, FALSE)-HLOOKUP("Not applicable",FUT_6_Tot_Tot,Age15_29, FALSE)),":")</f>
        <v>:</v>
      </c>
      <c r="D45" s="53" t="str">
        <f>IFERROR(HLOOKUP($B45,FUT_6_Tot_Men,Age15_29, FALSE)/(HLOOKUP("Total",FUT_6_Tot_Men,Age15_29, FALSE)-HLOOKUP("Not applicable",FUT_6_Tot_Men,Age15_29, FALSE)),":")</f>
        <v>:</v>
      </c>
      <c r="E45" s="54" t="str">
        <f>IFERROR(HLOOKUP($B45,FUT_6_Tot_Women,Age15_29, FALSE)/(HLOOKUP("Total",FUT_6_Tot_Women,Age15_29, FALSE)-HLOOKUP("Not applicable",FUT_6_Tot_Women,Age15_29, FALSE)),":")</f>
        <v>:</v>
      </c>
      <c r="F45" s="52" t="str">
        <f>IFERROR(HLOOKUP($B45,FUT_6_Tot_Tot,Age15_19, FALSE)/(HLOOKUP("Total",FUT_6_Tot_Tot,Age15_19, FALSE)-HLOOKUP("Not applicable",FUT_6_Tot_Tot,Age15_19, FALSE)),":")</f>
        <v>:</v>
      </c>
      <c r="G45" s="53" t="str">
        <f>IFERROR(HLOOKUP($B45,FUT_6_Tot_Men,Age15_19, FALSE)/(HLOOKUP("Total",FUT_6_Tot_Men,Age15_19, FALSE)-HLOOKUP("Not applicable",FUT_6_Tot_Men,Age15_19, FALSE)),":")</f>
        <v>:</v>
      </c>
      <c r="H45" s="54" t="str">
        <f>IFERROR(HLOOKUP($B45,FUT_6_Tot_Women,Age15_19, FALSE)/(HLOOKUP("Total",FUT_6_Tot_Women,Age15_19, FALSE)-HLOOKUP("Not applicable",FUT_6_Tot_Women,Age15_19, FALSE)),":")</f>
        <v>:</v>
      </c>
      <c r="I45" s="52" t="str">
        <f>IFERROR(HLOOKUP($B45,FUT_6_Tot_Tot,Age20_24, FALSE)/(HLOOKUP("Total",FUT_6_Tot_Tot,Age20_24, FALSE)-HLOOKUP("Not applicable",FUT_6_Tot_Tot,Age20_24, FALSE)),":")</f>
        <v>:</v>
      </c>
      <c r="J45" s="53" t="str">
        <f>IFERROR(HLOOKUP($B45,FUT_6_Tot_Men,Age20_24, FALSE)/(HLOOKUP("Total",FUT_6_Tot_Men,Age20_24, FALSE)-HLOOKUP("Not applicable",FUT_6_Tot_Men,Age20_24, FALSE)),":")</f>
        <v>:</v>
      </c>
      <c r="K45" s="54" t="str">
        <f>IFERROR(HLOOKUP($B45,FUT_6_Tot_Women,Age20_24, FALSE)/(HLOOKUP("Total",FUT_6_Tot_Women,Age20_24, FALSE)-HLOOKUP("Not applicable",FUT_6_Tot_Women,Age20_24, FALSE)),":")</f>
        <v>:</v>
      </c>
      <c r="L45" s="52" t="str">
        <f>IFERROR(HLOOKUP($B45,FUT_6_Tot_Tot,Age25_29, FALSE)/(HLOOKUP("Total",FUT_6_Tot_Tot,Age25_29, FALSE)-HLOOKUP("Not applicable",FUT_6_Tot_Tot,Age25_29, FALSE)),":")</f>
        <v>:</v>
      </c>
      <c r="M45" s="53" t="str">
        <f>IFERROR(HLOOKUP($B45,FUT_6_Tot_Men,Age25_29, FALSE)/(HLOOKUP("Total",FUT_6_Tot_Men,Age25_29, FALSE)-HLOOKUP("Not applicable",FUT_6_Tot_Men,Age25_29, FALSE)),":")</f>
        <v>:</v>
      </c>
      <c r="N45" s="54" t="str">
        <f>IFERROR(HLOOKUP($B45,FUT_6_Tot_Women,Age25_29, FALSE)/(HLOOKUP("Total",FUT_6_Tot_Women,Age25_29, FALSE)-HLOOKUP("Not applicable",FUT_6_Tot_Women,Age25_29, FALSE)),":")</f>
        <v>:</v>
      </c>
    </row>
    <row r="46" spans="1:14" x14ac:dyDescent="0.2">
      <c r="A46" s="98" t="s">
        <v>186</v>
      </c>
      <c r="B46" s="103"/>
      <c r="C46" s="100" t="str">
        <f t="shared" ref="C46:E46" si="9">IF(COUNT(C47:C48)&gt;0,SUM(C47:C48),":")</f>
        <v>:</v>
      </c>
      <c r="D46" s="101" t="str">
        <f t="shared" si="9"/>
        <v>:</v>
      </c>
      <c r="E46" s="102" t="str">
        <f t="shared" si="9"/>
        <v>:</v>
      </c>
      <c r="F46" s="100" t="str">
        <f t="shared" ref="F46:K46" si="10">IF(COUNT(F47:F48)&gt;0,SUM(F47:F48),":")</f>
        <v>:</v>
      </c>
      <c r="G46" s="101" t="str">
        <f t="shared" si="10"/>
        <v>:</v>
      </c>
      <c r="H46" s="102" t="str">
        <f t="shared" si="10"/>
        <v>:</v>
      </c>
      <c r="I46" s="100" t="str">
        <f t="shared" si="10"/>
        <v>:</v>
      </c>
      <c r="J46" s="101" t="str">
        <f t="shared" si="10"/>
        <v>:</v>
      </c>
      <c r="K46" s="102" t="str">
        <f t="shared" si="10"/>
        <v>:</v>
      </c>
      <c r="L46" s="100" t="str">
        <f t="shared" ref="L46:N46" si="11">IF(COUNT(L47:L48)&gt;0,SUM(L47:L48),":")</f>
        <v>:</v>
      </c>
      <c r="M46" s="101" t="str">
        <f t="shared" si="11"/>
        <v>:</v>
      </c>
      <c r="N46" s="102" t="str">
        <f t="shared" si="11"/>
        <v>:</v>
      </c>
    </row>
    <row r="47" spans="1:14" outlineLevel="1" x14ac:dyDescent="0.2">
      <c r="A47" s="50"/>
      <c r="B47" s="60" t="s">
        <v>20</v>
      </c>
      <c r="C47" s="52" t="str">
        <f>IFERROR(HLOOKUP($B47,FUT_6_Tot_Tot,Age15_29, FALSE)/(HLOOKUP("Total",FUT_6_Tot_Tot,Age15_29, FALSE)-HLOOKUP("Not applicable",FUT_6_Tot_Tot,Age15_29, FALSE)),":")</f>
        <v>:</v>
      </c>
      <c r="D47" s="53" t="str">
        <f>IFERROR(HLOOKUP($B47,FUT_6_Tot_Men,Age15_29, FALSE)/(HLOOKUP("Total",FUT_6_Tot_Men,Age15_29, FALSE)-HLOOKUP("Not applicable",FUT_6_Tot_Men,Age15_29, FALSE)),":")</f>
        <v>:</v>
      </c>
      <c r="E47" s="54" t="str">
        <f>IFERROR(HLOOKUP($B47,FUT_6_Tot_Women,Age15_29, FALSE)/(HLOOKUP("Total",FUT_6_Tot_Women,Age15_29, FALSE)-HLOOKUP("Not applicable",FUT_6_Tot_Women,Age15_29, FALSE)),":")</f>
        <v>:</v>
      </c>
      <c r="F47" s="52" t="str">
        <f>IFERROR(HLOOKUP($B47,FUT_6_Tot_Tot,Age15_19, FALSE)/(HLOOKUP("Total",FUT_6_Tot_Tot,Age15_19, FALSE)-HLOOKUP("Not applicable",FUT_6_Tot_Tot,Age15_19, FALSE)),":")</f>
        <v>:</v>
      </c>
      <c r="G47" s="53" t="str">
        <f>IFERROR(HLOOKUP($B47,FUT_6_Tot_Men,Age15_19, FALSE)/(HLOOKUP("Total",FUT_6_Tot_Men,Age15_19, FALSE)-HLOOKUP("Not applicable",FUT_6_Tot_Men,Age15_19, FALSE)),":")</f>
        <v>:</v>
      </c>
      <c r="H47" s="54" t="str">
        <f>IFERROR(HLOOKUP($B47,FUT_6_Tot_Women,Age15_19, FALSE)/(HLOOKUP("Total",FUT_6_Tot_Women,Age15_19, FALSE)-HLOOKUP("Not applicable",FUT_6_Tot_Women,Age15_19, FALSE)),":")</f>
        <v>:</v>
      </c>
      <c r="I47" s="52" t="str">
        <f>IFERROR(HLOOKUP($B47,FUT_6_Tot_Tot,Age20_24, FALSE)/(HLOOKUP("Total",FUT_6_Tot_Tot,Age20_24, FALSE)-HLOOKUP("Not applicable",FUT_6_Tot_Tot,Age20_24, FALSE)),":")</f>
        <v>:</v>
      </c>
      <c r="J47" s="53" t="str">
        <f>IFERROR(HLOOKUP($B47,FUT_6_Tot_Men,Age20_24, FALSE)/(HLOOKUP("Total",FUT_6_Tot_Men,Age20_24, FALSE)-HLOOKUP("Not applicable",FUT_6_Tot_Men,Age20_24, FALSE)),":")</f>
        <v>:</v>
      </c>
      <c r="K47" s="54" t="str">
        <f>IFERROR(HLOOKUP($B47,FUT_6_Tot_Women,Age20_24, FALSE)/(HLOOKUP("Total",FUT_6_Tot_Women,Age20_24, FALSE)-HLOOKUP("Not applicable",FUT_6_Tot_Women,Age20_24, FALSE)),":")</f>
        <v>:</v>
      </c>
      <c r="L47" s="52" t="str">
        <f>IFERROR(HLOOKUP($B47,FUT_6_Tot_Tot,Age25_29, FALSE)/(HLOOKUP("Total",FUT_6_Tot_Tot,Age25_29, FALSE)-HLOOKUP("Not applicable",FUT_6_Tot_Tot,Age25_29, FALSE)),":")</f>
        <v>:</v>
      </c>
      <c r="M47" s="53" t="str">
        <f>IFERROR(HLOOKUP($B47,FUT_6_Tot_Men,Age25_29, FALSE)/(HLOOKUP("Total",FUT_6_Tot_Men,Age25_29, FALSE)-HLOOKUP("Not applicable",FUT_6_Tot_Men,Age25_29, FALSE)),":")</f>
        <v>:</v>
      </c>
      <c r="N47" s="54" t="str">
        <f>IFERROR(HLOOKUP($B47,FUT_6_Tot_Women,Age25_29, FALSE)/(HLOOKUP("Total",FUT_6_Tot_Women,Age25_29, FALSE)-HLOOKUP("Not applicable",FUT_6_Tot_Women,Age25_29, FALSE)),":")</f>
        <v>:</v>
      </c>
    </row>
    <row r="48" spans="1:14" outlineLevel="1" x14ac:dyDescent="0.2">
      <c r="A48" s="50"/>
      <c r="B48" s="60" t="s">
        <v>91</v>
      </c>
      <c r="C48" s="52" t="str">
        <f>IFERROR(HLOOKUP($B48,FUT_6_Tot_Tot,Age15_29, FALSE)/(HLOOKUP("Total",FUT_6_Tot_Tot,Age15_29, FALSE)-HLOOKUP("Not applicable",FUT_6_Tot_Tot,Age15_29, FALSE)),":")</f>
        <v>:</v>
      </c>
      <c r="D48" s="53" t="str">
        <f>IFERROR(HLOOKUP($B48,FUT_6_Tot_Men,Age15_29, FALSE)/(HLOOKUP("Total",FUT_6_Tot_Men,Age15_29, FALSE)-HLOOKUP("Not applicable",FUT_6_Tot_Men,Age15_29, FALSE)),":")</f>
        <v>:</v>
      </c>
      <c r="E48" s="54" t="str">
        <f>IFERROR(HLOOKUP($B48,FUT_6_Tot_Women,Age15_29, FALSE)/(HLOOKUP("Total",FUT_6_Tot_Women,Age15_29, FALSE)-HLOOKUP("Not applicable",FUT_6_Tot_Women,Age15_29, FALSE)),":")</f>
        <v>:</v>
      </c>
      <c r="F48" s="52" t="str">
        <f>IFERROR(HLOOKUP($B48,FUT_6_Tot_Tot,Age15_19, FALSE)/(HLOOKUP("Total",FUT_6_Tot_Tot,Age15_19, FALSE)-HLOOKUP("Not applicable",FUT_6_Tot_Tot,Age15_19, FALSE)),":")</f>
        <v>:</v>
      </c>
      <c r="G48" s="53" t="str">
        <f>IFERROR(HLOOKUP($B48,FUT_6_Tot_Men,Age15_19, FALSE)/(HLOOKUP("Total",FUT_6_Tot_Men,Age15_19, FALSE)-HLOOKUP("Not applicable",FUT_6_Tot_Men,Age15_19, FALSE)),":")</f>
        <v>:</v>
      </c>
      <c r="H48" s="54" t="str">
        <f>IFERROR(HLOOKUP($B48,FUT_6_Tot_Women,Age15_19, FALSE)/(HLOOKUP("Total",FUT_6_Tot_Women,Age15_19, FALSE)-HLOOKUP("Not applicable",FUT_6_Tot_Women,Age15_19, FALSE)),":")</f>
        <v>:</v>
      </c>
      <c r="I48" s="52" t="str">
        <f>IFERROR(HLOOKUP($B48,FUT_6_Tot_Tot,Age20_24, FALSE)/(HLOOKUP("Total",FUT_6_Tot_Tot,Age20_24, FALSE)-HLOOKUP("Not applicable",FUT_6_Tot_Tot,Age20_24, FALSE)),":")</f>
        <v>:</v>
      </c>
      <c r="J48" s="53" t="str">
        <f>IFERROR(HLOOKUP($B48,FUT_6_Tot_Men,Age20_24, FALSE)/(HLOOKUP("Total",FUT_6_Tot_Men,Age20_24, FALSE)-HLOOKUP("Not applicable",FUT_6_Tot_Men,Age20_24, FALSE)),":")</f>
        <v>:</v>
      </c>
      <c r="K48" s="54" t="str">
        <f>IFERROR(HLOOKUP($B48,FUT_6_Tot_Women,Age20_24, FALSE)/(HLOOKUP("Total",FUT_6_Tot_Women,Age20_24, FALSE)-HLOOKUP("Not applicable",FUT_6_Tot_Women,Age20_24, FALSE)),":")</f>
        <v>:</v>
      </c>
      <c r="L48" s="52" t="str">
        <f>IFERROR(HLOOKUP($B48,FUT_6_Tot_Tot,Age25_29, FALSE)/(HLOOKUP("Total",FUT_6_Tot_Tot,Age25_29, FALSE)-HLOOKUP("Not applicable",FUT_6_Tot_Tot,Age25_29, FALSE)),":")</f>
        <v>:</v>
      </c>
      <c r="M48" s="53" t="str">
        <f>IFERROR(HLOOKUP($B48,FUT_6_Tot_Men,Age25_29, FALSE)/(HLOOKUP("Total",FUT_6_Tot_Men,Age25_29, FALSE)-HLOOKUP("Not applicable",FUT_6_Tot_Men,Age25_29, FALSE)),":")</f>
        <v>:</v>
      </c>
      <c r="N48" s="54" t="str">
        <f>IFERROR(HLOOKUP($B48,FUT_6_Tot_Women,Age25_29, FALSE)/(HLOOKUP("Total",FUT_6_Tot_Women,Age25_29, FALSE)-HLOOKUP("Not applicable",FUT_6_Tot_Women,Age25_29, FALSE)),":")</f>
        <v>:</v>
      </c>
    </row>
    <row r="49" spans="1:14" ht="16" thickBot="1" x14ac:dyDescent="0.25">
      <c r="A49" s="104" t="s">
        <v>21</v>
      </c>
      <c r="B49" s="105"/>
      <c r="C49" s="106" t="str">
        <f>IFERROR(HLOOKUP($A49,FUT_6_Tot_Tot,Age15_29, FALSE)/(HLOOKUP("Total",FUT_6_Tot_Tot,Age15_29, FALSE)-HLOOKUP("Not applicable",FUT_6_Tot_Tot,Age15_29, FALSE)),":")</f>
        <v>:</v>
      </c>
      <c r="D49" s="107" t="str">
        <f>IFERROR(HLOOKUP($A49,FUT_6_Tot_Men,Age15_29, FALSE)/(HLOOKUP("Total",FUT_6_Tot_Men,Age15_29, FALSE)-HLOOKUP("Not applicable",FUT_6_Tot_Men,Age15_29, FALSE)),":")</f>
        <v>:</v>
      </c>
      <c r="E49" s="108" t="str">
        <f>IFERROR(HLOOKUP($A49,FUT_6_Tot_Women,Age15_29, FALSE)/(HLOOKUP("Total",FUT_6_Tot_Women,Age15_29, FALSE)-HLOOKUP("Not applicable",FUT_6_Tot_Women,Age15_29, FALSE)),":")</f>
        <v>:</v>
      </c>
      <c r="F49" s="106" t="str">
        <f>IFERROR(HLOOKUP($A49,FUT_6_Tot_Tot,Age15_19, FALSE)/(HLOOKUP("Total",FUT_6_Tot_Tot,Age15_19, FALSE)-HLOOKUP("Not applicable",FUT_6_Tot_Tot,Age15_19, FALSE)),":")</f>
        <v>:</v>
      </c>
      <c r="G49" s="107" t="str">
        <f>IFERROR(HLOOKUP($A49,FUT_6_Tot_Men,Age15_19, FALSE)/(HLOOKUP("Total",FUT_6_Tot_Men,Age15_19, FALSE)-HLOOKUP("Not applicable",FUT_6_Tot_Men,Age15_19, FALSE)),":")</f>
        <v>:</v>
      </c>
      <c r="H49" s="108" t="str">
        <f>IFERROR(HLOOKUP($A49,FUT_6_Tot_Women,Age15_19, FALSE)/(HLOOKUP("Total",FUT_6_Tot_Women,Age15_19, FALSE)-HLOOKUP("Not applicable",FUT_6_Tot_Women,Age15_19, FALSE)),":")</f>
        <v>:</v>
      </c>
      <c r="I49" s="106" t="str">
        <f>IFERROR(HLOOKUP($A49,FUT_6_Tot_Tot,Age20_24, FALSE)/(HLOOKUP("Total",FUT_6_Tot_Tot,Age20_24, FALSE)-HLOOKUP("Not applicable",FUT_6_Tot_Tot,Age20_24, FALSE)),":")</f>
        <v>:</v>
      </c>
      <c r="J49" s="107" t="str">
        <f>IFERROR(HLOOKUP($A49,FUT_6_Tot_Men,Age20_24, FALSE)/(HLOOKUP("Total",FUT_6_Tot_Men,Age20_24, FALSE)-HLOOKUP("Not applicable",FUT_6_Tot_Men,Age20_24, FALSE)),":")</f>
        <v>:</v>
      </c>
      <c r="K49" s="108" t="str">
        <f>IFERROR(HLOOKUP($A49,FUT_6_Tot_Women,Age20_24, FALSE)/(HLOOKUP("Total",FUT_6_Tot_Women,Age20_24, FALSE)-HLOOKUP("Not applicable",FUT_6_Tot_Women,Age20_24, FALSE)),":")</f>
        <v>:</v>
      </c>
      <c r="L49" s="106" t="str">
        <f>IFERROR(HLOOKUP($A49,FUT_6_Tot_Tot,Age25_29, FALSE)/(HLOOKUP("Total",FUT_6_Tot_Tot,Age25_29, FALSE)-HLOOKUP("Not applicable",FUT_6_Tot_Tot,Age25_29, FALSE)),":")</f>
        <v>:</v>
      </c>
      <c r="M49" s="107" t="str">
        <f>IFERROR(HLOOKUP($A49,FUT_6_Tot_Men,Age25_29, FALSE)/(HLOOKUP("Total",FUT_6_Tot_Men,Age25_29, FALSE)-HLOOKUP("Not applicable",FUT_6_Tot_Men,Age25_29, FALSE)),":")</f>
        <v>:</v>
      </c>
      <c r="N49" s="108" t="str">
        <f>IFERROR(HLOOKUP($A49,FUT_6_Tot_Women,Age25_29, FALSE)/(HLOOKUP("Total",FUT_6_Tot_Women,Age25_29, FALSE)-HLOOKUP("Not applicable",FUT_6_Tot_Women,Age25_29, FALSE)),":")</f>
        <v>:</v>
      </c>
    </row>
    <row r="50" spans="1:14" ht="17" thickTop="1" thickBot="1" x14ac:dyDescent="0.25"/>
    <row r="51" spans="1:14" ht="15.75" customHeight="1" thickTop="1" x14ac:dyDescent="0.2">
      <c r="A51" s="352" t="s">
        <v>189</v>
      </c>
      <c r="B51" s="353"/>
      <c r="C51" s="347" t="s">
        <v>228</v>
      </c>
      <c r="D51" s="348"/>
      <c r="E51" s="349"/>
      <c r="F51" s="347" t="s">
        <v>11</v>
      </c>
      <c r="G51" s="348"/>
      <c r="H51" s="349"/>
      <c r="I51" s="356" t="s">
        <v>13</v>
      </c>
      <c r="J51" s="348"/>
      <c r="K51" s="349"/>
      <c r="L51" s="347" t="s">
        <v>227</v>
      </c>
      <c r="M51" s="348"/>
      <c r="N51" s="350"/>
    </row>
    <row r="52" spans="1:14" x14ac:dyDescent="0.2">
      <c r="A52" s="354"/>
      <c r="B52" s="355"/>
      <c r="C52" s="49" t="s">
        <v>3</v>
      </c>
      <c r="D52" s="47" t="s">
        <v>4</v>
      </c>
      <c r="E52" s="48" t="s">
        <v>5</v>
      </c>
      <c r="F52" s="49" t="s">
        <v>3</v>
      </c>
      <c r="G52" s="47" t="s">
        <v>4</v>
      </c>
      <c r="H52" s="48" t="s">
        <v>5</v>
      </c>
      <c r="I52" s="46" t="s">
        <v>3</v>
      </c>
      <c r="J52" s="47" t="s">
        <v>4</v>
      </c>
      <c r="K52" s="48" t="s">
        <v>5</v>
      </c>
      <c r="L52" s="49" t="s">
        <v>3</v>
      </c>
      <c r="M52" s="47" t="s">
        <v>4</v>
      </c>
      <c r="N52" s="164" t="s">
        <v>5</v>
      </c>
    </row>
    <row r="53" spans="1:14" x14ac:dyDescent="0.2">
      <c r="A53" s="98" t="s">
        <v>185</v>
      </c>
      <c r="B53" s="99"/>
      <c r="C53" s="100" t="str">
        <f t="shared" ref="C53:E53" si="12">IF(COUNT(C54:C57)&gt;0,SUM(C54:C57),":")</f>
        <v>:</v>
      </c>
      <c r="D53" s="101" t="str">
        <f t="shared" si="12"/>
        <v>:</v>
      </c>
      <c r="E53" s="102" t="str">
        <f t="shared" si="12"/>
        <v>:</v>
      </c>
      <c r="F53" s="100" t="str">
        <f t="shared" ref="F53:K53" si="13">IF(COUNT(F54:F57)&gt;0,SUM(F54:F57),":")</f>
        <v>:</v>
      </c>
      <c r="G53" s="101" t="str">
        <f t="shared" si="13"/>
        <v>:</v>
      </c>
      <c r="H53" s="102" t="str">
        <f t="shared" si="13"/>
        <v>:</v>
      </c>
      <c r="I53" s="100" t="str">
        <f t="shared" si="13"/>
        <v>:</v>
      </c>
      <c r="J53" s="101" t="str">
        <f t="shared" si="13"/>
        <v>:</v>
      </c>
      <c r="K53" s="102" t="str">
        <f t="shared" si="13"/>
        <v>:</v>
      </c>
      <c r="L53" s="100" t="str">
        <f t="shared" ref="L53:N53" si="14">IF(COUNT(L54:L57)&gt;0,SUM(L54:L57),":")</f>
        <v>:</v>
      </c>
      <c r="M53" s="101" t="str">
        <f t="shared" si="14"/>
        <v>:</v>
      </c>
      <c r="N53" s="102" t="str">
        <f t="shared" si="14"/>
        <v>:</v>
      </c>
    </row>
    <row r="54" spans="1:14" outlineLevel="1" x14ac:dyDescent="0.2">
      <c r="A54" s="50"/>
      <c r="B54" s="60" t="s">
        <v>15</v>
      </c>
      <c r="C54" s="52" t="str">
        <f>IFERROR(HLOOKUP($B54,FUT_12_Tot_Tot,Age15_29, FALSE)/(HLOOKUP("Total",FUT_12_Tot_Tot,Age15_29, FALSE)-HLOOKUP("Not applicable",FUT_12_Tot_Tot,Age15_29, FALSE)),":")</f>
        <v>:</v>
      </c>
      <c r="D54" s="53" t="str">
        <f>IFERROR(HLOOKUP($B54,FUT_12_Tot_Men,Age15_29, FALSE)/(HLOOKUP("Total",FUT_12_Tot_Men,Age15_29, FALSE)-HLOOKUP("Not applicable",FUT_12_Tot_Men,Age15_29, FALSE)),":")</f>
        <v>:</v>
      </c>
      <c r="E54" s="54" t="str">
        <f>IFERROR(HLOOKUP($B54,FUT_12_Tot_Women,Age15_29, FALSE)/(HLOOKUP("Total",FUT_12_Tot_Women,Age15_29, FALSE)-HLOOKUP("Not applicable",FUT_12_Tot_Women,Age15_29, FALSE)),":")</f>
        <v>:</v>
      </c>
      <c r="F54" s="52" t="str">
        <f>IFERROR(HLOOKUP($B54,FUT_12_Tot_Tot,Age15_19, FALSE)/(HLOOKUP("Total",FUT_12_Tot_Tot,Age15_19, FALSE)-HLOOKUP("Not applicable",FUT_12_Tot_Tot,Age15_19, FALSE)),":")</f>
        <v>:</v>
      </c>
      <c r="G54" s="53" t="str">
        <f>IFERROR(HLOOKUP($B54,FUT_12_Tot_Men,Age15_19, FALSE)/(HLOOKUP("Total",FUT_12_Tot_Men,Age15_19, FALSE)-HLOOKUP("Not applicable",FUT_12_Tot_Men,Age15_19, FALSE)),":")</f>
        <v>:</v>
      </c>
      <c r="H54" s="54" t="str">
        <f>IFERROR(HLOOKUP($B54,FUT_12_Tot_Women,Age15_19, FALSE)/(HLOOKUP("Total",FUT_12_Tot_Women,Age15_19, FALSE)-HLOOKUP("Not applicable",FUT_12_Tot_Women,Age15_19, FALSE)),":")</f>
        <v>:</v>
      </c>
      <c r="I54" s="52" t="str">
        <f>IFERROR(HLOOKUP($B54,FUT_12_Tot_Tot,Age20_24, FALSE)/(HLOOKUP("Total",FUT_12_Tot_Tot,Age20_24, FALSE)-HLOOKUP("Not applicable",FUT_12_Tot_Tot,Age20_24, FALSE)),":")</f>
        <v>:</v>
      </c>
      <c r="J54" s="53" t="str">
        <f>IFERROR(HLOOKUP($B54,FUT_12_Tot_Men,Age20_24, FALSE)/(HLOOKUP("Total",FUT_12_Tot_Men,Age20_24, FALSE)-HLOOKUP("Not applicable",FUT_12_Tot_Men,Age20_24, FALSE)),":")</f>
        <v>:</v>
      </c>
      <c r="K54" s="54" t="str">
        <f>IFERROR(HLOOKUP($B54,FUT_12_Tot_Women,Age20_24, FALSE)/(HLOOKUP("Total",FUT_12_Tot_Women,Age20_24, FALSE)-HLOOKUP("Not applicable",FUT_12_Tot_Women,Age20_24, FALSE)),":")</f>
        <v>:</v>
      </c>
      <c r="L54" s="52" t="str">
        <f>IFERROR(HLOOKUP($B54,FUT_12_Tot_Tot,Age25_29, FALSE)/(HLOOKUP("Total",FUT_12_Tot_Tot,Age25_29, FALSE)-HLOOKUP("Not applicable",FUT_12_Tot_Tot,Age25_29, FALSE)),":")</f>
        <v>:</v>
      </c>
      <c r="M54" s="53" t="str">
        <f>IFERROR(HLOOKUP($B54,FUT_12_Tot_Men,Age25_29, FALSE)/(HLOOKUP("Total",FUT_12_Tot_Men,Age25_29, FALSE)-HLOOKUP("Not applicable",FUT_12_Tot_Men,Age25_29, FALSE)),":")</f>
        <v>:</v>
      </c>
      <c r="N54" s="54" t="str">
        <f>IFERROR(HLOOKUP($B54,FUT_12_Tot_Women,Age25_29, FALSE)/(HLOOKUP("Total",FUT_12_Tot_Women,Age25_29, FALSE)-HLOOKUP("Not applicable",FUT_12_Tot_Women,Age25_29, FALSE)),":")</f>
        <v>:</v>
      </c>
    </row>
    <row r="55" spans="1:14" outlineLevel="1" x14ac:dyDescent="0.2">
      <c r="A55" s="50"/>
      <c r="B55" s="60" t="s">
        <v>16</v>
      </c>
      <c r="C55" s="52" t="str">
        <f>IFERROR(HLOOKUP($B55,FUT_12_Tot_Tot,Age15_29, FALSE)/(HLOOKUP("Total",FUT_12_Tot_Tot,Age15_29, FALSE)-HLOOKUP("Not applicable",FUT_12_Tot_Tot,Age15_29, FALSE)),":")</f>
        <v>:</v>
      </c>
      <c r="D55" s="53" t="str">
        <f>IFERROR(HLOOKUP($B55,FUT_12_Tot_Men,Age15_29, FALSE)/(HLOOKUP("Total",FUT_12_Tot_Men,Age15_29, FALSE)-HLOOKUP("Not applicable",FUT_12_Tot_Men,Age15_29, FALSE)),":")</f>
        <v>:</v>
      </c>
      <c r="E55" s="54" t="str">
        <f>IFERROR(HLOOKUP($B55,FUT_12_Tot_Women,Age15_29, FALSE)/(HLOOKUP("Total",FUT_12_Tot_Women,Age15_29, FALSE)-HLOOKUP("Not applicable",FUT_12_Tot_Women,Age15_29, FALSE)),":")</f>
        <v>:</v>
      </c>
      <c r="F55" s="52" t="str">
        <f>IFERROR(HLOOKUP($B55,FUT_12_Tot_Tot,Age15_19, FALSE)/(HLOOKUP("Total",FUT_12_Tot_Tot,Age15_19, FALSE)-HLOOKUP("Not applicable",FUT_12_Tot_Tot,Age15_19, FALSE)),":")</f>
        <v>:</v>
      </c>
      <c r="G55" s="53" t="str">
        <f>IFERROR(HLOOKUP($B55,FUT_12_Tot_Men,Age15_19, FALSE)/(HLOOKUP("Total",FUT_12_Tot_Men,Age15_19, FALSE)-HLOOKUP("Not applicable",FUT_12_Tot_Men,Age15_19, FALSE)),":")</f>
        <v>:</v>
      </c>
      <c r="H55" s="54" t="str">
        <f>IFERROR(HLOOKUP($B55,FUT_12_Tot_Women,Age15_19, FALSE)/(HLOOKUP("Total",FUT_12_Tot_Women,Age15_19, FALSE)-HLOOKUP("Not applicable",FUT_12_Tot_Women,Age15_19, FALSE)),":")</f>
        <v>:</v>
      </c>
      <c r="I55" s="52" t="str">
        <f>IFERROR(HLOOKUP($B55,FUT_12_Tot_Tot,Age20_24, FALSE)/(HLOOKUP("Total",FUT_12_Tot_Tot,Age20_24, FALSE)-HLOOKUP("Not applicable",FUT_12_Tot_Tot,Age20_24, FALSE)),":")</f>
        <v>:</v>
      </c>
      <c r="J55" s="53" t="str">
        <f>IFERROR(HLOOKUP($B55,FUT_12_Tot_Men,Age20_24, FALSE)/(HLOOKUP("Total",FUT_12_Tot_Men,Age20_24, FALSE)-HLOOKUP("Not applicable",FUT_12_Tot_Men,Age20_24, FALSE)),":")</f>
        <v>:</v>
      </c>
      <c r="K55" s="54" t="str">
        <f>IFERROR(HLOOKUP($B55,FUT_12_Tot_Women,Age20_24, FALSE)/(HLOOKUP("Total",FUT_12_Tot_Women,Age20_24, FALSE)-HLOOKUP("Not applicable",FUT_12_Tot_Women,Age20_24, FALSE)),":")</f>
        <v>:</v>
      </c>
      <c r="L55" s="52" t="str">
        <f>IFERROR(HLOOKUP($B55,FUT_12_Tot_Tot,Age25_29, FALSE)/(HLOOKUP("Total",FUT_12_Tot_Tot,Age25_29, FALSE)-HLOOKUP("Not applicable",FUT_12_Tot_Tot,Age25_29, FALSE)),":")</f>
        <v>:</v>
      </c>
      <c r="M55" s="53" t="str">
        <f>IFERROR(HLOOKUP($B55,FUT_12_Tot_Men,Age25_29, FALSE)/(HLOOKUP("Total",FUT_12_Tot_Men,Age25_29, FALSE)-HLOOKUP("Not applicable",FUT_12_Tot_Men,Age25_29, FALSE)),":")</f>
        <v>:</v>
      </c>
      <c r="N55" s="54" t="str">
        <f>IFERROR(HLOOKUP($B55,FUT_12_Tot_Women,Age25_29, FALSE)/(HLOOKUP("Total",FUT_12_Tot_Women,Age25_29, FALSE)-HLOOKUP("Not applicable",FUT_12_Tot_Women,Age25_29, FALSE)),":")</f>
        <v>:</v>
      </c>
    </row>
    <row r="56" spans="1:14" outlineLevel="1" x14ac:dyDescent="0.2">
      <c r="A56" s="50"/>
      <c r="B56" s="60" t="s">
        <v>17</v>
      </c>
      <c r="C56" s="52" t="str">
        <f>IFERROR(HLOOKUP($B56,FUT_12_Tot_Tot,Age15_29, FALSE)/(HLOOKUP("Total",FUT_12_Tot_Tot,Age15_29, FALSE)-HLOOKUP("Not applicable",FUT_12_Tot_Tot,Age15_29, FALSE)),":")</f>
        <v>:</v>
      </c>
      <c r="D56" s="53" t="str">
        <f>IFERROR(HLOOKUP($B56,FUT_12_Tot_Men,Age15_29, FALSE)/(HLOOKUP("Total",FUT_12_Tot_Men,Age15_29, FALSE)-HLOOKUP("Not applicable",FUT_12_Tot_Men,Age15_29, FALSE)),":")</f>
        <v>:</v>
      </c>
      <c r="E56" s="54" t="str">
        <f>IFERROR(HLOOKUP($B56,FUT_12_Tot_Women,Age15_29, FALSE)/(HLOOKUP("Total",FUT_12_Tot_Women,Age15_29, FALSE)-HLOOKUP("Not applicable",FUT_12_Tot_Women,Age15_29, FALSE)),":")</f>
        <v>:</v>
      </c>
      <c r="F56" s="52" t="str">
        <f>IFERROR(HLOOKUP($B56,FUT_12_Tot_Tot,Age15_19, FALSE)/(HLOOKUP("Total",FUT_12_Tot_Tot,Age15_19, FALSE)-HLOOKUP("Not applicable",FUT_12_Tot_Tot,Age15_19, FALSE)),":")</f>
        <v>:</v>
      </c>
      <c r="G56" s="53" t="str">
        <f>IFERROR(HLOOKUP($B56,FUT_12_Tot_Men,Age15_19, FALSE)/(HLOOKUP("Total",FUT_12_Tot_Men,Age15_19, FALSE)-HLOOKUP("Not applicable",FUT_12_Tot_Men,Age15_19, FALSE)),":")</f>
        <v>:</v>
      </c>
      <c r="H56" s="54" t="str">
        <f>IFERROR(HLOOKUP($B56,FUT_12_Tot_Women,Age15_19, FALSE)/(HLOOKUP("Total",FUT_12_Tot_Women,Age15_19, FALSE)-HLOOKUP("Not applicable",FUT_12_Tot_Women,Age15_19, FALSE)),":")</f>
        <v>:</v>
      </c>
      <c r="I56" s="52" t="str">
        <f>IFERROR(HLOOKUP($B56,FUT_12_Tot_Tot,Age20_24, FALSE)/(HLOOKUP("Total",FUT_12_Tot_Tot,Age20_24, FALSE)-HLOOKUP("Not applicable",FUT_12_Tot_Tot,Age20_24, FALSE)),":")</f>
        <v>:</v>
      </c>
      <c r="J56" s="53" t="str">
        <f>IFERROR(HLOOKUP($B56,FUT_12_Tot_Men,Age20_24, FALSE)/(HLOOKUP("Total",FUT_12_Tot_Men,Age20_24, FALSE)-HLOOKUP("Not applicable",FUT_12_Tot_Men,Age20_24, FALSE)),":")</f>
        <v>:</v>
      </c>
      <c r="K56" s="54" t="str">
        <f>IFERROR(HLOOKUP($B56,FUT_12_Tot_Women,Age20_24, FALSE)/(HLOOKUP("Total",FUT_12_Tot_Women,Age20_24, FALSE)-HLOOKUP("Not applicable",FUT_12_Tot_Women,Age20_24, FALSE)),":")</f>
        <v>:</v>
      </c>
      <c r="L56" s="52" t="str">
        <f>IFERROR(HLOOKUP($B56,FUT_12_Tot_Tot,Age25_29, FALSE)/(HLOOKUP("Total",FUT_12_Tot_Tot,Age25_29, FALSE)-HLOOKUP("Not applicable",FUT_12_Tot_Tot,Age25_29, FALSE)),":")</f>
        <v>:</v>
      </c>
      <c r="M56" s="53" t="str">
        <f>IFERROR(HLOOKUP($B56,FUT_12_Tot_Men,Age25_29, FALSE)/(HLOOKUP("Total",FUT_12_Tot_Men,Age25_29, FALSE)-HLOOKUP("Not applicable",FUT_12_Tot_Men,Age25_29, FALSE)),":")</f>
        <v>:</v>
      </c>
      <c r="N56" s="54" t="str">
        <f>IFERROR(HLOOKUP($B56,FUT_12_Tot_Women,Age25_29, FALSE)/(HLOOKUP("Total",FUT_12_Tot_Women,Age25_29, FALSE)-HLOOKUP("Not applicable",FUT_12_Tot_Women,Age25_29, FALSE)),":")</f>
        <v>:</v>
      </c>
    </row>
    <row r="57" spans="1:14" outlineLevel="1" x14ac:dyDescent="0.2">
      <c r="A57" s="50"/>
      <c r="B57" s="60" t="s">
        <v>18</v>
      </c>
      <c r="C57" s="52" t="str">
        <f>IFERROR(HLOOKUP($B57,FUT_12_Tot_Tot,Age15_29, FALSE)/(HLOOKUP("Total",FUT_12_Tot_Tot,Age15_29, FALSE)-HLOOKUP("Not applicable",FUT_12_Tot_Tot,Age15_29, FALSE)),":")</f>
        <v>:</v>
      </c>
      <c r="D57" s="53" t="str">
        <f>IFERROR(HLOOKUP($B57,FUT_12_Tot_Men,Age15_29, FALSE)/(HLOOKUP("Total",FUT_12_Tot_Men,Age15_29, FALSE)-HLOOKUP("Not applicable",FUT_12_Tot_Men,Age15_29, FALSE)),":")</f>
        <v>:</v>
      </c>
      <c r="E57" s="54" t="str">
        <f>IFERROR(HLOOKUP($B57,FUT_12_Tot_Women,Age15_29, FALSE)/(HLOOKUP("Total",FUT_12_Tot_Women,Age15_29, FALSE)-HLOOKUP("Not applicable",FUT_12_Tot_Women,Age15_29, FALSE)),":")</f>
        <v>:</v>
      </c>
      <c r="F57" s="52" t="str">
        <f>IFERROR(HLOOKUP($B57,FUT_12_Tot_Tot,Age15_19, FALSE)/(HLOOKUP("Total",FUT_12_Tot_Tot,Age15_19, FALSE)-HLOOKUP("Not applicable",FUT_12_Tot_Tot,Age15_19, FALSE)),":")</f>
        <v>:</v>
      </c>
      <c r="G57" s="53" t="str">
        <f>IFERROR(HLOOKUP($B57,FUT_12_Tot_Men,Age15_19, FALSE)/(HLOOKUP("Total",FUT_12_Tot_Men,Age15_19, FALSE)-HLOOKUP("Not applicable",FUT_12_Tot_Men,Age15_19, FALSE)),":")</f>
        <v>:</v>
      </c>
      <c r="H57" s="54" t="str">
        <f>IFERROR(HLOOKUP($B57,FUT_12_Tot_Women,Age15_19, FALSE)/(HLOOKUP("Total",FUT_12_Tot_Women,Age15_19, FALSE)-HLOOKUP("Not applicable",FUT_12_Tot_Women,Age15_19, FALSE)),":")</f>
        <v>:</v>
      </c>
      <c r="I57" s="52" t="str">
        <f>IFERROR(HLOOKUP($B57,FUT_12_Tot_Tot,Age20_24, FALSE)/(HLOOKUP("Total",FUT_12_Tot_Tot,Age20_24, FALSE)-HLOOKUP("Not applicable",FUT_12_Tot_Tot,Age20_24, FALSE)),":")</f>
        <v>:</v>
      </c>
      <c r="J57" s="53" t="str">
        <f>IFERROR(HLOOKUP($B57,FUT_12_Tot_Men,Age20_24, FALSE)/(HLOOKUP("Total",FUT_12_Tot_Men,Age20_24, FALSE)-HLOOKUP("Not applicable",FUT_12_Tot_Men,Age20_24, FALSE)),":")</f>
        <v>:</v>
      </c>
      <c r="K57" s="54" t="str">
        <f>IFERROR(HLOOKUP($B57,FUT_12_Tot_Women,Age20_24, FALSE)/(HLOOKUP("Total",FUT_12_Tot_Women,Age20_24, FALSE)-HLOOKUP("Not applicable",FUT_12_Tot_Women,Age20_24, FALSE)),":")</f>
        <v>:</v>
      </c>
      <c r="L57" s="52" t="str">
        <f>IFERROR(HLOOKUP($B57,FUT_12_Tot_Tot,Age25_29, FALSE)/(HLOOKUP("Total",FUT_12_Tot_Tot,Age25_29, FALSE)-HLOOKUP("Not applicable",FUT_12_Tot_Tot,Age25_29, FALSE)),":")</f>
        <v>:</v>
      </c>
      <c r="M57" s="53" t="str">
        <f>IFERROR(HLOOKUP($B57,FUT_12_Tot_Men,Age25_29, FALSE)/(HLOOKUP("Total",FUT_12_Tot_Men,Age25_29, FALSE)-HLOOKUP("Not applicable",FUT_12_Tot_Men,Age25_29, FALSE)),":")</f>
        <v>:</v>
      </c>
      <c r="N57" s="54" t="str">
        <f>IFERROR(HLOOKUP($B57,FUT_12_Tot_Women,Age25_29, FALSE)/(HLOOKUP("Total",FUT_12_Tot_Women,Age25_29, FALSE)-HLOOKUP("Not applicable",FUT_12_Tot_Women,Age25_29, FALSE)),":")</f>
        <v>:</v>
      </c>
    </row>
    <row r="58" spans="1:14" x14ac:dyDescent="0.2">
      <c r="A58" s="98" t="s">
        <v>186</v>
      </c>
      <c r="B58" s="103"/>
      <c r="C58" s="100" t="str">
        <f t="shared" ref="C58:E58" si="15">IF(COUNT(C59:C60)&gt;0,SUM(C59:C60),":")</f>
        <v>:</v>
      </c>
      <c r="D58" s="101" t="str">
        <f t="shared" si="15"/>
        <v>:</v>
      </c>
      <c r="E58" s="102" t="str">
        <f t="shared" si="15"/>
        <v>:</v>
      </c>
      <c r="F58" s="100" t="str">
        <f t="shared" ref="F58:K58" si="16">IF(COUNT(F59:F60)&gt;0,SUM(F59:F60),":")</f>
        <v>:</v>
      </c>
      <c r="G58" s="101" t="str">
        <f t="shared" si="16"/>
        <v>:</v>
      </c>
      <c r="H58" s="102" t="str">
        <f t="shared" si="16"/>
        <v>:</v>
      </c>
      <c r="I58" s="100" t="str">
        <f t="shared" si="16"/>
        <v>:</v>
      </c>
      <c r="J58" s="101" t="str">
        <f t="shared" si="16"/>
        <v>:</v>
      </c>
      <c r="K58" s="102" t="str">
        <f t="shared" si="16"/>
        <v>:</v>
      </c>
      <c r="L58" s="100" t="str">
        <f t="shared" ref="L58:N58" si="17">IF(COUNT(L59:L60)&gt;0,SUM(L59:L60),":")</f>
        <v>:</v>
      </c>
      <c r="M58" s="101" t="str">
        <f t="shared" si="17"/>
        <v>:</v>
      </c>
      <c r="N58" s="102" t="str">
        <f t="shared" si="17"/>
        <v>:</v>
      </c>
    </row>
    <row r="59" spans="1:14" outlineLevel="1" x14ac:dyDescent="0.2">
      <c r="A59" s="50"/>
      <c r="B59" s="60" t="s">
        <v>20</v>
      </c>
      <c r="C59" s="52" t="str">
        <f>IFERROR(HLOOKUP($B59,FUT_12_Tot_Tot,Age15_29, FALSE)/(HLOOKUP("Total",FUT_12_Tot_Tot,Age15_29, FALSE)-HLOOKUP("Not applicable",FUT_12_Tot_Tot,Age15_29, FALSE)),":")</f>
        <v>:</v>
      </c>
      <c r="D59" s="53" t="str">
        <f>IFERROR(HLOOKUP($B59,FUT_12_Tot_Men,Age15_29, FALSE)/(HLOOKUP("Total",FUT_12_Tot_Men,Age15_29, FALSE)-HLOOKUP("Not applicable",FUT_12_Tot_Men,Age15_29, FALSE)),":")</f>
        <v>:</v>
      </c>
      <c r="E59" s="54" t="str">
        <f>IFERROR(HLOOKUP($B59,FUT_12_Tot_Women,Age15_29, FALSE)/(HLOOKUP("Total",FUT_12_Tot_Women,Age15_29, FALSE)-HLOOKUP("Not applicable",FUT_12_Tot_Women,Age15_29, FALSE)),":")</f>
        <v>:</v>
      </c>
      <c r="F59" s="52" t="str">
        <f>IFERROR(HLOOKUP($B59,FUT_12_Tot_Tot,Age15_19, FALSE)/(HLOOKUP("Total",FUT_12_Tot_Tot,Age15_19, FALSE)-HLOOKUP("Not applicable",FUT_12_Tot_Tot,Age15_19, FALSE)),":")</f>
        <v>:</v>
      </c>
      <c r="G59" s="53" t="str">
        <f>IFERROR(HLOOKUP($B59,FUT_12_Tot_Men,Age15_19, FALSE)/(HLOOKUP("Total",FUT_12_Tot_Men,Age15_19, FALSE)-HLOOKUP("Not applicable",FUT_12_Tot_Men,Age15_19, FALSE)),":")</f>
        <v>:</v>
      </c>
      <c r="H59" s="54" t="str">
        <f>IFERROR(HLOOKUP($B59,FUT_12_Tot_Women,Age15_19, FALSE)/(HLOOKUP("Total",FUT_12_Tot_Women,Age15_19, FALSE)-HLOOKUP("Not applicable",FUT_12_Tot_Women,Age15_19, FALSE)),":")</f>
        <v>:</v>
      </c>
      <c r="I59" s="52" t="str">
        <f>IFERROR(HLOOKUP($B59,FUT_12_Tot_Tot,Age20_24, FALSE)/(HLOOKUP("Total",FUT_12_Tot_Tot,Age20_24, FALSE)-HLOOKUP("Not applicable",FUT_12_Tot_Tot,Age20_24, FALSE)),":")</f>
        <v>:</v>
      </c>
      <c r="J59" s="53" t="str">
        <f>IFERROR(HLOOKUP($B59,FUT_12_Tot_Men,Age20_24, FALSE)/(HLOOKUP("Total",FUT_12_Tot_Men,Age20_24, FALSE)-HLOOKUP("Not applicable",FUT_12_Tot_Men,Age20_24, FALSE)),":")</f>
        <v>:</v>
      </c>
      <c r="K59" s="54" t="str">
        <f>IFERROR(HLOOKUP($B59,FUT_12_Tot_Women,Age20_24, FALSE)/(HLOOKUP("Total",FUT_12_Tot_Women,Age20_24, FALSE)-HLOOKUP("Not applicable",FUT_12_Tot_Women,Age20_24, FALSE)),":")</f>
        <v>:</v>
      </c>
      <c r="L59" s="52" t="str">
        <f>IFERROR(HLOOKUP($B59,FUT_12_Tot_Tot,Age25_29, FALSE)/(HLOOKUP("Total",FUT_12_Tot_Tot,Age25_29, FALSE)-HLOOKUP("Not applicable",FUT_12_Tot_Tot,Age25_29, FALSE)),":")</f>
        <v>:</v>
      </c>
      <c r="M59" s="53" t="str">
        <f>IFERROR(HLOOKUP($B59,FUT_12_Tot_Men,Age25_29, FALSE)/(HLOOKUP("Total",FUT_12_Tot_Men,Age25_29, FALSE)-HLOOKUP("Not applicable",FUT_12_Tot_Men,Age25_29, FALSE)),":")</f>
        <v>:</v>
      </c>
      <c r="N59" s="54" t="str">
        <f>IFERROR(HLOOKUP($B59,FUT_12_Tot_Women,Age25_29, FALSE)/(HLOOKUP("Total",FUT_12_Tot_Women,Age25_29, FALSE)-HLOOKUP("Not applicable",FUT_12_Tot_Women,Age25_29, FALSE)),":")</f>
        <v>:</v>
      </c>
    </row>
    <row r="60" spans="1:14" outlineLevel="1" x14ac:dyDescent="0.2">
      <c r="A60" s="50"/>
      <c r="B60" s="60" t="s">
        <v>91</v>
      </c>
      <c r="C60" s="52" t="str">
        <f>IFERROR(HLOOKUP($B60,FUT_12_Tot_Tot,Age15_29, FALSE)/(HLOOKUP("Total",FUT_12_Tot_Tot,Age15_29, FALSE)-HLOOKUP("Not applicable",FUT_12_Tot_Tot,Age15_29, FALSE)),":")</f>
        <v>:</v>
      </c>
      <c r="D60" s="53" t="str">
        <f>IFERROR(HLOOKUP($B60,FUT_12_Tot_Men,Age15_29, FALSE)/(HLOOKUP("Total",FUT_12_Tot_Men,Age15_29, FALSE)-HLOOKUP("Not applicable",FUT_12_Tot_Men,Age15_29, FALSE)),":")</f>
        <v>:</v>
      </c>
      <c r="E60" s="54" t="str">
        <f>IFERROR(HLOOKUP($B60,FUT_12_Tot_Women,Age15_29, FALSE)/(HLOOKUP("Total",FUT_12_Tot_Women,Age15_29, FALSE)-HLOOKUP("Not applicable",FUT_12_Tot_Women,Age15_29, FALSE)),":")</f>
        <v>:</v>
      </c>
      <c r="F60" s="52" t="str">
        <f>IFERROR(HLOOKUP($B60,FUT_12_Tot_Tot,Age15_19, FALSE)/(HLOOKUP("Total",FUT_12_Tot_Tot,Age15_19, FALSE)-HLOOKUP("Not applicable",FUT_12_Tot_Tot,Age15_19, FALSE)),":")</f>
        <v>:</v>
      </c>
      <c r="G60" s="53" t="str">
        <f>IFERROR(HLOOKUP($B60,FUT_12_Tot_Men,Age15_19, FALSE)/(HLOOKUP("Total",FUT_12_Tot_Men,Age15_19, FALSE)-HLOOKUP("Not applicable",FUT_12_Tot_Men,Age15_19, FALSE)),":")</f>
        <v>:</v>
      </c>
      <c r="H60" s="54" t="str">
        <f>IFERROR(HLOOKUP($B60,FUT_12_Tot_Women,Age15_19, FALSE)/(HLOOKUP("Total",FUT_12_Tot_Women,Age15_19, FALSE)-HLOOKUP("Not applicable",FUT_12_Tot_Women,Age15_19, FALSE)),":")</f>
        <v>:</v>
      </c>
      <c r="I60" s="52" t="str">
        <f>IFERROR(HLOOKUP($B60,FUT_12_Tot_Tot,Age20_24, FALSE)/(HLOOKUP("Total",FUT_12_Tot_Tot,Age20_24, FALSE)-HLOOKUP("Not applicable",FUT_12_Tot_Tot,Age20_24, FALSE)),":")</f>
        <v>:</v>
      </c>
      <c r="J60" s="53" t="str">
        <f>IFERROR(HLOOKUP($B60,FUT_12_Tot_Men,Age20_24, FALSE)/(HLOOKUP("Total",FUT_12_Tot_Men,Age20_24, FALSE)-HLOOKUP("Not applicable",FUT_12_Tot_Men,Age20_24, FALSE)),":")</f>
        <v>:</v>
      </c>
      <c r="K60" s="54" t="str">
        <f>IFERROR(HLOOKUP($B60,FUT_12_Tot_Women,Age20_24, FALSE)/(HLOOKUP("Total",FUT_12_Tot_Women,Age20_24, FALSE)-HLOOKUP("Not applicable",FUT_12_Tot_Women,Age20_24, FALSE)),":")</f>
        <v>:</v>
      </c>
      <c r="L60" s="52" t="str">
        <f>IFERROR(HLOOKUP($B60,FUT_12_Tot_Tot,Age25_29, FALSE)/(HLOOKUP("Total",FUT_12_Tot_Tot,Age25_29, FALSE)-HLOOKUP("Not applicable",FUT_12_Tot_Tot,Age25_29, FALSE)),":")</f>
        <v>:</v>
      </c>
      <c r="M60" s="53" t="str">
        <f>IFERROR(HLOOKUP($B60,FUT_12_Tot_Men,Age25_29, FALSE)/(HLOOKUP("Total",FUT_12_Tot_Men,Age25_29, FALSE)-HLOOKUP("Not applicable",FUT_12_Tot_Men,Age25_29, FALSE)),":")</f>
        <v>:</v>
      </c>
      <c r="N60" s="54" t="str">
        <f>IFERROR(HLOOKUP($B60,FUT_12_Tot_Women,Age25_29, FALSE)/(HLOOKUP("Total",FUT_12_Tot_Women,Age25_29, FALSE)-HLOOKUP("Not applicable",FUT_12_Tot_Women,Age25_29, FALSE)),":")</f>
        <v>:</v>
      </c>
    </row>
    <row r="61" spans="1:14" ht="16" thickBot="1" x14ac:dyDescent="0.25">
      <c r="A61" s="104" t="s">
        <v>21</v>
      </c>
      <c r="B61" s="105"/>
      <c r="C61" s="106" t="str">
        <f>IFERROR(HLOOKUP($A61,FUT_12_Tot_Tot,Age15_29, FALSE)/(HLOOKUP("Total",FUT_12_Tot_Tot,Age15_29, FALSE)-HLOOKUP("Not applicable",FUT_12_Tot_Tot,Age15_29, FALSE)),":")</f>
        <v>:</v>
      </c>
      <c r="D61" s="107" t="str">
        <f>IFERROR(HLOOKUP($A61,FUT_12_Tot_Men,Age15_29, FALSE)/(HLOOKUP("Total",FUT_12_Tot_Men,Age15_29, FALSE)-HLOOKUP("Not applicable",FUT_12_Tot_Men,Age15_29, FALSE)),":")</f>
        <v>:</v>
      </c>
      <c r="E61" s="108" t="str">
        <f>IFERROR(HLOOKUP($A61,FUT_12_Tot_Women,Age15_29, FALSE)/(HLOOKUP("Total",FUT_12_Tot_Women,Age15_29, FALSE)-HLOOKUP("Not applicable",FUT_12_Tot_Women,Age15_29, FALSE)),":")</f>
        <v>:</v>
      </c>
      <c r="F61" s="106" t="str">
        <f>IFERROR(HLOOKUP($A61,FUT_12_Tot_Tot,Age15_19, FALSE)/(HLOOKUP("Total",FUT_12_Tot_Tot,Age15_19, FALSE)-HLOOKUP("Not applicable",FUT_12_Tot_Tot,Age15_19, FALSE)),":")</f>
        <v>:</v>
      </c>
      <c r="G61" s="107" t="str">
        <f>IFERROR(HLOOKUP($A61,FUT_12_Tot_Men,Age15_19, FALSE)/(HLOOKUP("Total",FUT_12_Tot_Men,Age15_19, FALSE)-HLOOKUP("Not applicable",FUT_12_Tot_Men,Age15_19, FALSE)),":")</f>
        <v>:</v>
      </c>
      <c r="H61" s="108" t="str">
        <f>IFERROR(HLOOKUP($A61,FUT_12_Tot_Women,Age15_19, FALSE)/(HLOOKUP("Total",FUT_12_Tot_Women,Age15_19, FALSE)-HLOOKUP("Not applicable",FUT_12_Tot_Women,Age15_19, FALSE)),":")</f>
        <v>:</v>
      </c>
      <c r="I61" s="106" t="str">
        <f>IFERROR(HLOOKUP($A61,FUT_12_Tot_Tot,Age20_24, FALSE)/(HLOOKUP("Total",FUT_12_Tot_Tot,Age20_24, FALSE)-HLOOKUP("Not applicable",FUT_12_Tot_Tot,Age20_24, FALSE)),":")</f>
        <v>:</v>
      </c>
      <c r="J61" s="107" t="str">
        <f>IFERROR(HLOOKUP($A61,FUT_12_Tot_Men,Age20_24, FALSE)/(HLOOKUP("Total",FUT_12_Tot_Men,Age20_24, FALSE)-HLOOKUP("Not applicable",FUT_12_Tot_Men,Age20_24, FALSE)),":")</f>
        <v>:</v>
      </c>
      <c r="K61" s="108" t="str">
        <f>IFERROR(HLOOKUP($A61,FUT_12_Tot_Women,Age20_24, FALSE)/(HLOOKUP("Total",FUT_12_Tot_Women,Age20_24, FALSE)-HLOOKUP("Not applicable",FUT_12_Tot_Women,Age20_24, FALSE)),":")</f>
        <v>:</v>
      </c>
      <c r="L61" s="106" t="str">
        <f>IFERROR(HLOOKUP($A61,FUT_12_Tot_Tot,Age25_29, FALSE)/(HLOOKUP("Total",FUT_12_Tot_Tot,Age25_29, FALSE)-HLOOKUP("Not applicable",FUT_12_Tot_Tot,Age25_29, FALSE)),":")</f>
        <v>:</v>
      </c>
      <c r="M61" s="107" t="str">
        <f>IFERROR(HLOOKUP($A61,FUT_12_Tot_Men,Age25_29, FALSE)/(HLOOKUP("Total",FUT_12_Tot_Men,Age25_29, FALSE)-HLOOKUP("Not applicable",FUT_12_Tot_Men,Age25_29, FALSE)),":")</f>
        <v>:</v>
      </c>
      <c r="N61" s="108" t="str">
        <f>IFERROR(HLOOKUP($A61,FUT_12_Tot_Women,Age25_29, FALSE)/(HLOOKUP("Total",FUT_12_Tot_Women,Age25_29, FALSE)-HLOOKUP("Not applicable",FUT_12_Tot_Women,Age25_29, FALSE)),":")</f>
        <v>:</v>
      </c>
    </row>
    <row r="62" spans="1:14" ht="17" thickTop="1" thickBot="1" x14ac:dyDescent="0.25"/>
    <row r="63" spans="1:14" ht="15.75" customHeight="1" thickTop="1" x14ac:dyDescent="0.2">
      <c r="A63" s="352" t="s">
        <v>190</v>
      </c>
      <c r="B63" s="353"/>
      <c r="C63" s="347" t="s">
        <v>228</v>
      </c>
      <c r="D63" s="348"/>
      <c r="E63" s="349"/>
      <c r="F63" s="347" t="s">
        <v>11</v>
      </c>
      <c r="G63" s="348"/>
      <c r="H63" s="349"/>
      <c r="I63" s="356" t="s">
        <v>13</v>
      </c>
      <c r="J63" s="348"/>
      <c r="K63" s="349"/>
      <c r="L63" s="347" t="s">
        <v>227</v>
      </c>
      <c r="M63" s="348"/>
      <c r="N63" s="350"/>
    </row>
    <row r="64" spans="1:14" x14ac:dyDescent="0.2">
      <c r="A64" s="354"/>
      <c r="B64" s="355"/>
      <c r="C64" s="49" t="s">
        <v>3</v>
      </c>
      <c r="D64" s="47" t="s">
        <v>4</v>
      </c>
      <c r="E64" s="48" t="s">
        <v>5</v>
      </c>
      <c r="F64" s="49" t="s">
        <v>3</v>
      </c>
      <c r="G64" s="47" t="s">
        <v>4</v>
      </c>
      <c r="H64" s="48" t="s">
        <v>5</v>
      </c>
      <c r="I64" s="46" t="s">
        <v>3</v>
      </c>
      <c r="J64" s="47" t="s">
        <v>4</v>
      </c>
      <c r="K64" s="48" t="s">
        <v>5</v>
      </c>
      <c r="L64" s="49" t="s">
        <v>3</v>
      </c>
      <c r="M64" s="47" t="s">
        <v>4</v>
      </c>
      <c r="N64" s="164" t="s">
        <v>5</v>
      </c>
    </row>
    <row r="65" spans="1:14" x14ac:dyDescent="0.2">
      <c r="A65" s="98" t="s">
        <v>185</v>
      </c>
      <c r="B65" s="99"/>
      <c r="C65" s="100" t="str">
        <f t="shared" ref="C65:E65" si="18">IF(COUNT(C66:C69)&gt;0,SUM(C66:C69),":")</f>
        <v>:</v>
      </c>
      <c r="D65" s="101" t="str">
        <f t="shared" si="18"/>
        <v>:</v>
      </c>
      <c r="E65" s="102" t="str">
        <f t="shared" si="18"/>
        <v>:</v>
      </c>
      <c r="F65" s="100" t="str">
        <f t="shared" ref="F65:K65" si="19">IF(COUNT(F66:F69)&gt;0,SUM(F66:F69),":")</f>
        <v>:</v>
      </c>
      <c r="G65" s="101" t="str">
        <f t="shared" si="19"/>
        <v>:</v>
      </c>
      <c r="H65" s="102" t="str">
        <f t="shared" si="19"/>
        <v>:</v>
      </c>
      <c r="I65" s="100" t="str">
        <f t="shared" si="19"/>
        <v>:</v>
      </c>
      <c r="J65" s="101" t="str">
        <f t="shared" si="19"/>
        <v>:</v>
      </c>
      <c r="K65" s="102" t="str">
        <f t="shared" si="19"/>
        <v>:</v>
      </c>
      <c r="L65" s="100" t="str">
        <f t="shared" ref="L65:N65" si="20">IF(COUNT(L66:L69)&gt;0,SUM(L66:L69),":")</f>
        <v>:</v>
      </c>
      <c r="M65" s="101" t="str">
        <f t="shared" si="20"/>
        <v>:</v>
      </c>
      <c r="N65" s="102" t="str">
        <f t="shared" si="20"/>
        <v>:</v>
      </c>
    </row>
    <row r="66" spans="1:14" outlineLevel="1" x14ac:dyDescent="0.2">
      <c r="A66" s="50"/>
      <c r="B66" s="60" t="s">
        <v>15</v>
      </c>
      <c r="C66" s="52" t="str">
        <f>IFERROR(HLOOKUP($B66,FUT_18_Tot_Tot,Age15_29, FALSE)/(HLOOKUP("Total",FUT_18_Tot_Tot,Age15_29, FALSE)-HLOOKUP("Not applicable",FUT_18_Tot_Tot,Age15_29, FALSE)),":")</f>
        <v>:</v>
      </c>
      <c r="D66" s="53" t="str">
        <f>IFERROR(HLOOKUP($B66,FUT_18_Tot_Men,Age15_29, FALSE)/(HLOOKUP("Total",FUT_18_Tot_Men,Age15_29, FALSE)-HLOOKUP("Not applicable",FUT_18_Tot_Men,Age15_29, FALSE)),":")</f>
        <v>:</v>
      </c>
      <c r="E66" s="54" t="str">
        <f>IFERROR(HLOOKUP($B66,FUT_18_Tot_Women,Age15_29, FALSE)/(HLOOKUP("Total",FUT_18_Tot_Women,Age15_29, FALSE)-HLOOKUP("Not applicable",FUT_18_Tot_Women,Age15_29, FALSE)),":")</f>
        <v>:</v>
      </c>
      <c r="F66" s="52" t="str">
        <f>IFERROR(HLOOKUP($B66,FUT_18_Tot_Tot,Age15_19, FALSE)/(HLOOKUP("Total",FUT_18_Tot_Tot,Age15_19, FALSE)-HLOOKUP("Not applicable",FUT_18_Tot_Tot,Age15_19, FALSE)),":")</f>
        <v>:</v>
      </c>
      <c r="G66" s="53" t="str">
        <f>IFERROR(HLOOKUP($B66,FUT_18_Tot_Men,Age15_19, FALSE)/(HLOOKUP("Total",FUT_18_Tot_Men,Age15_19, FALSE)-HLOOKUP("Not applicable",FUT_18_Tot_Men,Age15_19, FALSE)),":")</f>
        <v>:</v>
      </c>
      <c r="H66" s="54" t="str">
        <f>IFERROR(HLOOKUP($B66,FUT_18_Tot_Women,Age15_19, FALSE)/(HLOOKUP("Total",FUT_18_Tot_Women,Age15_19, FALSE)-HLOOKUP("Not applicable",FUT_18_Tot_Women,Age15_19, FALSE)),":")</f>
        <v>:</v>
      </c>
      <c r="I66" s="52" t="str">
        <f>IFERROR(HLOOKUP($B66,FUT_18_Tot_Tot,Age20_24, FALSE)/(HLOOKUP("Total",FUT_18_Tot_Tot,Age20_24, FALSE)-HLOOKUP("Not applicable",FUT_18_Tot_Tot,Age20_24, FALSE)),":")</f>
        <v>:</v>
      </c>
      <c r="J66" s="53" t="str">
        <f>IFERROR(HLOOKUP($B66,FUT_18_Tot_Men,Age20_24, FALSE)/(HLOOKUP("Total",FUT_18_Tot_Men,Age20_24, FALSE)-HLOOKUP("Not applicable",FUT_18_Tot_Men,Age20_24, FALSE)),":")</f>
        <v>:</v>
      </c>
      <c r="K66" s="54" t="str">
        <f>IFERROR(HLOOKUP($B66,FUT_18_Tot_Women,Age20_24, FALSE)/(HLOOKUP("Total",FUT_18_Tot_Women,Age20_24, FALSE)-HLOOKUP("Not applicable",FUT_18_Tot_Women,Age20_24, FALSE)),":")</f>
        <v>:</v>
      </c>
      <c r="L66" s="52" t="str">
        <f>IFERROR(HLOOKUP($B66,FUT_18_Tot_Tot,Age25_29, FALSE)/(HLOOKUP("Total",FUT_18_Tot_Tot,Age25_29, FALSE)-HLOOKUP("Not applicable",FUT_18_Tot_Tot,Age25_29, FALSE)),":")</f>
        <v>:</v>
      </c>
      <c r="M66" s="53" t="str">
        <f>IFERROR(HLOOKUP($B66,FUT_18_Tot_Men,Age25_29, FALSE)/(HLOOKUP("Total",FUT_18_Tot_Men,Age25_29, FALSE)-HLOOKUP("Not applicable",FUT_18_Tot_Men,Age25_29, FALSE)),":")</f>
        <v>:</v>
      </c>
      <c r="N66" s="54" t="str">
        <f>IFERROR(HLOOKUP($B66,FUT_18_Tot_Women,Age25_29, FALSE)/(HLOOKUP("Total",FUT_18_Tot_Women,Age25_29, FALSE)-HLOOKUP("Not applicable",FUT_18_Tot_Women,Age25_29, FALSE)),":")</f>
        <v>:</v>
      </c>
    </row>
    <row r="67" spans="1:14" outlineLevel="1" x14ac:dyDescent="0.2">
      <c r="A67" s="50"/>
      <c r="B67" s="60" t="s">
        <v>16</v>
      </c>
      <c r="C67" s="52" t="str">
        <f>IFERROR(HLOOKUP($B67,FUT_18_Tot_Tot,Age15_29, FALSE)/(HLOOKUP("Total",FUT_18_Tot_Tot,Age15_29, FALSE)-HLOOKUP("Not applicable",FUT_18_Tot_Tot,Age15_29, FALSE)),":")</f>
        <v>:</v>
      </c>
      <c r="D67" s="53" t="str">
        <f>IFERROR(HLOOKUP($B67,FUT_18_Tot_Men,Age15_29, FALSE)/(HLOOKUP("Total",FUT_18_Tot_Men,Age15_29, FALSE)-HLOOKUP("Not applicable",FUT_18_Tot_Men,Age15_29, FALSE)),":")</f>
        <v>:</v>
      </c>
      <c r="E67" s="54" t="str">
        <f>IFERROR(HLOOKUP($B67,FUT_18_Tot_Women,Age15_29, FALSE)/(HLOOKUP("Total",FUT_18_Tot_Women,Age15_29, FALSE)-HLOOKUP("Not applicable",FUT_18_Tot_Women,Age15_29, FALSE)),":")</f>
        <v>:</v>
      </c>
      <c r="F67" s="52" t="str">
        <f>IFERROR(HLOOKUP($B67,FUT_18_Tot_Tot,Age15_19, FALSE)/(HLOOKUP("Total",FUT_18_Tot_Tot,Age15_19, FALSE)-HLOOKUP("Not applicable",FUT_18_Tot_Tot,Age15_19, FALSE)),":")</f>
        <v>:</v>
      </c>
      <c r="G67" s="53" t="str">
        <f>IFERROR(HLOOKUP($B67,FUT_18_Tot_Men,Age15_19, FALSE)/(HLOOKUP("Total",FUT_18_Tot_Men,Age15_19, FALSE)-HLOOKUP("Not applicable",FUT_18_Tot_Men,Age15_19, FALSE)),":")</f>
        <v>:</v>
      </c>
      <c r="H67" s="54" t="str">
        <f>IFERROR(HLOOKUP($B67,FUT_18_Tot_Women,Age15_19, FALSE)/(HLOOKUP("Total",FUT_18_Tot_Women,Age15_19, FALSE)-HLOOKUP("Not applicable",FUT_18_Tot_Women,Age15_19, FALSE)),":")</f>
        <v>:</v>
      </c>
      <c r="I67" s="52" t="str">
        <f>IFERROR(HLOOKUP($B67,FUT_18_Tot_Tot,Age20_24, FALSE)/(HLOOKUP("Total",FUT_18_Tot_Tot,Age20_24, FALSE)-HLOOKUP("Not applicable",FUT_18_Tot_Tot,Age20_24, FALSE)),":")</f>
        <v>:</v>
      </c>
      <c r="J67" s="53" t="str">
        <f>IFERROR(HLOOKUP($B67,FUT_18_Tot_Men,Age20_24, FALSE)/(HLOOKUP("Total",FUT_18_Tot_Men,Age20_24, FALSE)-HLOOKUP("Not applicable",FUT_18_Tot_Men,Age20_24, FALSE)),":")</f>
        <v>:</v>
      </c>
      <c r="K67" s="54" t="str">
        <f>IFERROR(HLOOKUP($B67,FUT_18_Tot_Women,Age20_24, FALSE)/(HLOOKUP("Total",FUT_18_Tot_Women,Age20_24, FALSE)-HLOOKUP("Not applicable",FUT_18_Tot_Women,Age20_24, FALSE)),":")</f>
        <v>:</v>
      </c>
      <c r="L67" s="52" t="str">
        <f>IFERROR(HLOOKUP($B67,FUT_18_Tot_Tot,Age25_29, FALSE)/(HLOOKUP("Total",FUT_18_Tot_Tot,Age25_29, FALSE)-HLOOKUP("Not applicable",FUT_18_Tot_Tot,Age25_29, FALSE)),":")</f>
        <v>:</v>
      </c>
      <c r="M67" s="53" t="str">
        <f>IFERROR(HLOOKUP($B67,FUT_18_Tot_Men,Age25_29, FALSE)/(HLOOKUP("Total",FUT_18_Tot_Men,Age25_29, FALSE)-HLOOKUP("Not applicable",FUT_18_Tot_Men,Age25_29, FALSE)),":")</f>
        <v>:</v>
      </c>
      <c r="N67" s="54" t="str">
        <f>IFERROR(HLOOKUP($B67,FUT_18_Tot_Women,Age25_29, FALSE)/(HLOOKUP("Total",FUT_18_Tot_Women,Age25_29, FALSE)-HLOOKUP("Not applicable",FUT_18_Tot_Women,Age25_29, FALSE)),":")</f>
        <v>:</v>
      </c>
    </row>
    <row r="68" spans="1:14" outlineLevel="1" x14ac:dyDescent="0.2">
      <c r="A68" s="50"/>
      <c r="B68" s="60" t="s">
        <v>17</v>
      </c>
      <c r="C68" s="52" t="str">
        <f>IFERROR(HLOOKUP($B68,FUT_18_Tot_Tot,Age15_29, FALSE)/(HLOOKUP("Total",FUT_18_Tot_Tot,Age15_29, FALSE)-HLOOKUP("Not applicable",FUT_18_Tot_Tot,Age15_29, FALSE)),":")</f>
        <v>:</v>
      </c>
      <c r="D68" s="53" t="str">
        <f>IFERROR(HLOOKUP($B68,FUT_18_Tot_Men,Age15_29, FALSE)/(HLOOKUP("Total",FUT_18_Tot_Men,Age15_29, FALSE)-HLOOKUP("Not applicable",FUT_18_Tot_Men,Age15_29, FALSE)),":")</f>
        <v>:</v>
      </c>
      <c r="E68" s="54" t="str">
        <f>IFERROR(HLOOKUP($B68,FUT_18_Tot_Women,Age15_29, FALSE)/(HLOOKUP("Total",FUT_18_Tot_Women,Age15_29, FALSE)-HLOOKUP("Not applicable",FUT_18_Tot_Women,Age15_29, FALSE)),":")</f>
        <v>:</v>
      </c>
      <c r="F68" s="52" t="str">
        <f>IFERROR(HLOOKUP($B68,FUT_18_Tot_Tot,Age15_19, FALSE)/(HLOOKUP("Total",FUT_18_Tot_Tot,Age15_19, FALSE)-HLOOKUP("Not applicable",FUT_18_Tot_Tot,Age15_19, FALSE)),":")</f>
        <v>:</v>
      </c>
      <c r="G68" s="53" t="str">
        <f>IFERROR(HLOOKUP($B68,FUT_18_Tot_Men,Age15_19, FALSE)/(HLOOKUP("Total",FUT_18_Tot_Men,Age15_19, FALSE)-HLOOKUP("Not applicable",FUT_18_Tot_Men,Age15_19, FALSE)),":")</f>
        <v>:</v>
      </c>
      <c r="H68" s="54" t="str">
        <f>IFERROR(HLOOKUP($B68,FUT_18_Tot_Women,Age15_19, FALSE)/(HLOOKUP("Total",FUT_18_Tot_Women,Age15_19, FALSE)-HLOOKUP("Not applicable",FUT_18_Tot_Women,Age15_19, FALSE)),":")</f>
        <v>:</v>
      </c>
      <c r="I68" s="52" t="str">
        <f>IFERROR(HLOOKUP($B68,FUT_18_Tot_Tot,Age20_24, FALSE)/(HLOOKUP("Total",FUT_18_Tot_Tot,Age20_24, FALSE)-HLOOKUP("Not applicable",FUT_18_Tot_Tot,Age20_24, FALSE)),":")</f>
        <v>:</v>
      </c>
      <c r="J68" s="53" t="str">
        <f>IFERROR(HLOOKUP($B68,FUT_18_Tot_Men,Age20_24, FALSE)/(HLOOKUP("Total",FUT_18_Tot_Men,Age20_24, FALSE)-HLOOKUP("Not applicable",FUT_18_Tot_Men,Age20_24, FALSE)),":")</f>
        <v>:</v>
      </c>
      <c r="K68" s="54" t="str">
        <f>IFERROR(HLOOKUP($B68,FUT_18_Tot_Women,Age20_24, FALSE)/(HLOOKUP("Total",FUT_18_Tot_Women,Age20_24, FALSE)-HLOOKUP("Not applicable",FUT_18_Tot_Women,Age20_24, FALSE)),":")</f>
        <v>:</v>
      </c>
      <c r="L68" s="52" t="str">
        <f>IFERROR(HLOOKUP($B68,FUT_18_Tot_Tot,Age25_29, FALSE)/(HLOOKUP("Total",FUT_18_Tot_Tot,Age25_29, FALSE)-HLOOKUP("Not applicable",FUT_18_Tot_Tot,Age25_29, FALSE)),":")</f>
        <v>:</v>
      </c>
      <c r="M68" s="53" t="str">
        <f>IFERROR(HLOOKUP($B68,FUT_18_Tot_Men,Age25_29, FALSE)/(HLOOKUP("Total",FUT_18_Tot_Men,Age25_29, FALSE)-HLOOKUP("Not applicable",FUT_18_Tot_Men,Age25_29, FALSE)),":")</f>
        <v>:</v>
      </c>
      <c r="N68" s="54" t="str">
        <f>IFERROR(HLOOKUP($B68,FUT_18_Tot_Women,Age25_29, FALSE)/(HLOOKUP("Total",FUT_18_Tot_Women,Age25_29, FALSE)-HLOOKUP("Not applicable",FUT_18_Tot_Women,Age25_29, FALSE)),":")</f>
        <v>:</v>
      </c>
    </row>
    <row r="69" spans="1:14" outlineLevel="1" x14ac:dyDescent="0.2">
      <c r="A69" s="50"/>
      <c r="B69" s="60" t="s">
        <v>18</v>
      </c>
      <c r="C69" s="52" t="str">
        <f>IFERROR(HLOOKUP($B69,FUT_18_Tot_Tot,Age15_29, FALSE)/(HLOOKUP("Total",FUT_18_Tot_Tot,Age15_29, FALSE)-HLOOKUP("Not applicable",FUT_18_Tot_Tot,Age15_29, FALSE)),":")</f>
        <v>:</v>
      </c>
      <c r="D69" s="53" t="str">
        <f>IFERROR(HLOOKUP($B69,FUT_18_Tot_Men,Age15_29, FALSE)/(HLOOKUP("Total",FUT_18_Tot_Men,Age15_29, FALSE)-HLOOKUP("Not applicable",FUT_18_Tot_Men,Age15_29, FALSE)),":")</f>
        <v>:</v>
      </c>
      <c r="E69" s="54" t="str">
        <f>IFERROR(HLOOKUP($B69,FUT_18_Tot_Women,Age15_29, FALSE)/(HLOOKUP("Total",FUT_18_Tot_Women,Age15_29, FALSE)-HLOOKUP("Not applicable",FUT_18_Tot_Women,Age15_29, FALSE)),":")</f>
        <v>:</v>
      </c>
      <c r="F69" s="52" t="str">
        <f>IFERROR(HLOOKUP($B69,FUT_18_Tot_Tot,Age15_19, FALSE)/(HLOOKUP("Total",FUT_18_Tot_Tot,Age15_19, FALSE)-HLOOKUP("Not applicable",FUT_18_Tot_Tot,Age15_19, FALSE)),":")</f>
        <v>:</v>
      </c>
      <c r="G69" s="53" t="str">
        <f>IFERROR(HLOOKUP($B69,FUT_18_Tot_Men,Age15_19, FALSE)/(HLOOKUP("Total",FUT_18_Tot_Men,Age15_19, FALSE)-HLOOKUP("Not applicable",FUT_18_Tot_Men,Age15_19, FALSE)),":")</f>
        <v>:</v>
      </c>
      <c r="H69" s="54" t="str">
        <f>IFERROR(HLOOKUP($B69,FUT_18_Tot_Women,Age15_19, FALSE)/(HLOOKUP("Total",FUT_18_Tot_Women,Age15_19, FALSE)-HLOOKUP("Not applicable",FUT_18_Tot_Women,Age15_19, FALSE)),":")</f>
        <v>:</v>
      </c>
      <c r="I69" s="52" t="str">
        <f>IFERROR(HLOOKUP($B69,FUT_18_Tot_Tot,Age20_24, FALSE)/(HLOOKUP("Total",FUT_18_Tot_Tot,Age20_24, FALSE)-HLOOKUP("Not applicable",FUT_18_Tot_Tot,Age20_24, FALSE)),":")</f>
        <v>:</v>
      </c>
      <c r="J69" s="53" t="str">
        <f>IFERROR(HLOOKUP($B69,FUT_18_Tot_Men,Age20_24, FALSE)/(HLOOKUP("Total",FUT_18_Tot_Men,Age20_24, FALSE)-HLOOKUP("Not applicable",FUT_18_Tot_Men,Age20_24, FALSE)),":")</f>
        <v>:</v>
      </c>
      <c r="K69" s="54" t="str">
        <f>IFERROR(HLOOKUP($B69,FUT_18_Tot_Women,Age20_24, FALSE)/(HLOOKUP("Total",FUT_18_Tot_Women,Age20_24, FALSE)-HLOOKUP("Not applicable",FUT_18_Tot_Women,Age20_24, FALSE)),":")</f>
        <v>:</v>
      </c>
      <c r="L69" s="52" t="str">
        <f>IFERROR(HLOOKUP($B69,FUT_18_Tot_Tot,Age25_29, FALSE)/(HLOOKUP("Total",FUT_18_Tot_Tot,Age25_29, FALSE)-HLOOKUP("Not applicable",FUT_18_Tot_Tot,Age25_29, FALSE)),":")</f>
        <v>:</v>
      </c>
      <c r="M69" s="53" t="str">
        <f>IFERROR(HLOOKUP($B69,FUT_18_Tot_Men,Age25_29, FALSE)/(HLOOKUP("Total",FUT_18_Tot_Men,Age25_29, FALSE)-HLOOKUP("Not applicable",FUT_18_Tot_Men,Age25_29, FALSE)),":")</f>
        <v>:</v>
      </c>
      <c r="N69" s="54" t="str">
        <f>IFERROR(HLOOKUP($B69,FUT_18_Tot_Women,Age25_29, FALSE)/(HLOOKUP("Total",FUT_18_Tot_Women,Age25_29, FALSE)-HLOOKUP("Not applicable",FUT_18_Tot_Women,Age25_29, FALSE)),":")</f>
        <v>:</v>
      </c>
    </row>
    <row r="70" spans="1:14" x14ac:dyDescent="0.2">
      <c r="A70" s="98" t="s">
        <v>186</v>
      </c>
      <c r="B70" s="103"/>
      <c r="C70" s="100" t="str">
        <f t="shared" ref="C70:E70" si="21">IF(COUNT(C71:C72)&gt;0,SUM(C71:C72),":")</f>
        <v>:</v>
      </c>
      <c r="D70" s="101" t="str">
        <f t="shared" si="21"/>
        <v>:</v>
      </c>
      <c r="E70" s="102" t="str">
        <f t="shared" si="21"/>
        <v>:</v>
      </c>
      <c r="F70" s="100" t="str">
        <f t="shared" ref="F70:K70" si="22">IF(COUNT(F71:F72)&gt;0,SUM(F71:F72),":")</f>
        <v>:</v>
      </c>
      <c r="G70" s="101" t="str">
        <f t="shared" si="22"/>
        <v>:</v>
      </c>
      <c r="H70" s="102" t="str">
        <f t="shared" si="22"/>
        <v>:</v>
      </c>
      <c r="I70" s="100" t="str">
        <f t="shared" si="22"/>
        <v>:</v>
      </c>
      <c r="J70" s="101" t="str">
        <f t="shared" si="22"/>
        <v>:</v>
      </c>
      <c r="K70" s="102" t="str">
        <f t="shared" si="22"/>
        <v>:</v>
      </c>
      <c r="L70" s="100" t="str">
        <f t="shared" ref="L70:N70" si="23">IF(COUNT(L71:L72)&gt;0,SUM(L71:L72),":")</f>
        <v>:</v>
      </c>
      <c r="M70" s="101" t="str">
        <f t="shared" si="23"/>
        <v>:</v>
      </c>
      <c r="N70" s="102" t="str">
        <f t="shared" si="23"/>
        <v>:</v>
      </c>
    </row>
    <row r="71" spans="1:14" outlineLevel="1" x14ac:dyDescent="0.2">
      <c r="A71" s="50"/>
      <c r="B71" s="60" t="s">
        <v>20</v>
      </c>
      <c r="C71" s="52" t="str">
        <f>IFERROR(HLOOKUP($B71,FUT_18_Tot_Tot,Age15_29, FALSE)/(HLOOKUP("Total",FUT_18_Tot_Tot,Age15_29, FALSE)-HLOOKUP("Not applicable",FUT_18_Tot_Tot,Age15_29, FALSE)),":")</f>
        <v>:</v>
      </c>
      <c r="D71" s="53" t="str">
        <f>IFERROR(HLOOKUP($B71,FUT_18_Tot_Men,Age15_29, FALSE)/(HLOOKUP("Total",FUT_18_Tot_Men,Age15_29, FALSE)-HLOOKUP("Not applicable",FUT_18_Tot_Men,Age15_29, FALSE)),":")</f>
        <v>:</v>
      </c>
      <c r="E71" s="54" t="str">
        <f>IFERROR(HLOOKUP($B71,FUT_18_Tot_Women,Age15_29, FALSE)/(HLOOKUP("Total",FUT_18_Tot_Women,Age15_29, FALSE)-HLOOKUP("Not applicable",FUT_18_Tot_Women,Age15_29, FALSE)),":")</f>
        <v>:</v>
      </c>
      <c r="F71" s="52" t="str">
        <f>IFERROR(HLOOKUP($B71,FUT_18_Tot_Tot,Age15_19, FALSE)/(HLOOKUP("Total",FUT_18_Tot_Tot,Age15_19, FALSE)-HLOOKUP("Not applicable",FUT_18_Tot_Tot,Age15_19, FALSE)),":")</f>
        <v>:</v>
      </c>
      <c r="G71" s="53" t="str">
        <f>IFERROR(HLOOKUP($B71,FUT_18_Tot_Men,Age15_19, FALSE)/(HLOOKUP("Total",FUT_18_Tot_Men,Age15_19, FALSE)-HLOOKUP("Not applicable",FUT_18_Tot_Men,Age15_19, FALSE)),":")</f>
        <v>:</v>
      </c>
      <c r="H71" s="54" t="str">
        <f>IFERROR(HLOOKUP($B71,FUT_18_Tot_Women,Age15_19, FALSE)/(HLOOKUP("Total",FUT_18_Tot_Women,Age15_19, FALSE)-HLOOKUP("Not applicable",FUT_18_Tot_Women,Age15_19, FALSE)),":")</f>
        <v>:</v>
      </c>
      <c r="I71" s="52" t="str">
        <f>IFERROR(HLOOKUP($B71,FUT_18_Tot_Tot,Age20_24, FALSE)/(HLOOKUP("Total",FUT_18_Tot_Tot,Age20_24, FALSE)-HLOOKUP("Not applicable",FUT_18_Tot_Tot,Age20_24, FALSE)),":")</f>
        <v>:</v>
      </c>
      <c r="J71" s="53" t="str">
        <f>IFERROR(HLOOKUP($B71,FUT_18_Tot_Men,Age20_24, FALSE)/(HLOOKUP("Total",FUT_18_Tot_Men,Age20_24, FALSE)-HLOOKUP("Not applicable",FUT_18_Tot_Men,Age20_24, FALSE)),":")</f>
        <v>:</v>
      </c>
      <c r="K71" s="54" t="str">
        <f>IFERROR(HLOOKUP($B71,FUT_18_Tot_Women,Age20_24, FALSE)/(HLOOKUP("Total",FUT_18_Tot_Women,Age20_24, FALSE)-HLOOKUP("Not applicable",FUT_18_Tot_Women,Age20_24, FALSE)),":")</f>
        <v>:</v>
      </c>
      <c r="L71" s="52" t="str">
        <f>IFERROR(HLOOKUP($B71,FUT_18_Tot_Tot,Age25_29, FALSE)/(HLOOKUP("Total",FUT_18_Tot_Tot,Age25_29, FALSE)-HLOOKUP("Not applicable",FUT_18_Tot_Tot,Age25_29, FALSE)),":")</f>
        <v>:</v>
      </c>
      <c r="M71" s="53" t="str">
        <f>IFERROR(HLOOKUP($B71,FUT_18_Tot_Men,Age25_29, FALSE)/(HLOOKUP("Total",FUT_18_Tot_Men,Age25_29, FALSE)-HLOOKUP("Not applicable",FUT_18_Tot_Men,Age25_29, FALSE)),":")</f>
        <v>:</v>
      </c>
      <c r="N71" s="54" t="str">
        <f>IFERROR(HLOOKUP($B71,FUT_18_Tot_Women,Age25_29, FALSE)/(HLOOKUP("Total",FUT_18_Tot_Women,Age25_29, FALSE)-HLOOKUP("Not applicable",FUT_18_Tot_Women,Age25_29, FALSE)),":")</f>
        <v>:</v>
      </c>
    </row>
    <row r="72" spans="1:14" outlineLevel="1" x14ac:dyDescent="0.2">
      <c r="A72" s="50"/>
      <c r="B72" s="60" t="s">
        <v>91</v>
      </c>
      <c r="C72" s="52" t="str">
        <f>IFERROR(HLOOKUP($B72,FUT_18_Tot_Tot,Age15_29, FALSE)/(HLOOKUP("Total",FUT_18_Tot_Tot,Age15_29, FALSE)-HLOOKUP("Not applicable",FUT_18_Tot_Tot,Age15_29, FALSE)),":")</f>
        <v>:</v>
      </c>
      <c r="D72" s="53" t="str">
        <f>IFERROR(HLOOKUP($B72,FUT_18_Tot_Men,Age15_29, FALSE)/(HLOOKUP("Total",FUT_18_Tot_Men,Age15_29, FALSE)-HLOOKUP("Not applicable",FUT_18_Tot_Men,Age15_29, FALSE)),":")</f>
        <v>:</v>
      </c>
      <c r="E72" s="54" t="str">
        <f>IFERROR(HLOOKUP($B72,FUT_18_Tot_Women,Age15_29, FALSE)/(HLOOKUP("Total",FUT_18_Tot_Women,Age15_29, FALSE)-HLOOKUP("Not applicable",FUT_18_Tot_Women,Age15_29, FALSE)),":")</f>
        <v>:</v>
      </c>
      <c r="F72" s="52" t="str">
        <f>IFERROR(HLOOKUP($B72,FUT_18_Tot_Tot,Age15_19, FALSE)/(HLOOKUP("Total",FUT_18_Tot_Tot,Age15_19, FALSE)-HLOOKUP("Not applicable",FUT_18_Tot_Tot,Age15_19, FALSE)),":")</f>
        <v>:</v>
      </c>
      <c r="G72" s="53" t="str">
        <f>IFERROR(HLOOKUP($B72,FUT_18_Tot_Men,Age15_19, FALSE)/(HLOOKUP("Total",FUT_18_Tot_Men,Age15_19, FALSE)-HLOOKUP("Not applicable",FUT_18_Tot_Men,Age15_19, FALSE)),":")</f>
        <v>:</v>
      </c>
      <c r="H72" s="54" t="str">
        <f>IFERROR(HLOOKUP($B72,FUT_18_Tot_Women,Age15_19, FALSE)/(HLOOKUP("Total",FUT_18_Tot_Women,Age15_19, FALSE)-HLOOKUP("Not applicable",FUT_18_Tot_Women,Age15_19, FALSE)),":")</f>
        <v>:</v>
      </c>
      <c r="I72" s="52" t="str">
        <f>IFERROR(HLOOKUP($B72,FUT_18_Tot_Tot,Age20_24, FALSE)/(HLOOKUP("Total",FUT_18_Tot_Tot,Age20_24, FALSE)-HLOOKUP("Not applicable",FUT_18_Tot_Tot,Age20_24, FALSE)),":")</f>
        <v>:</v>
      </c>
      <c r="J72" s="53" t="str">
        <f>IFERROR(HLOOKUP($B72,FUT_18_Tot_Men,Age20_24, FALSE)/(HLOOKUP("Total",FUT_18_Tot_Men,Age20_24, FALSE)-HLOOKUP("Not applicable",FUT_18_Tot_Men,Age20_24, FALSE)),":")</f>
        <v>:</v>
      </c>
      <c r="K72" s="54" t="str">
        <f>IFERROR(HLOOKUP($B72,FUT_18_Tot_Women,Age20_24, FALSE)/(HLOOKUP("Total",FUT_18_Tot_Women,Age20_24, FALSE)-HLOOKUP("Not applicable",FUT_18_Tot_Women,Age20_24, FALSE)),":")</f>
        <v>:</v>
      </c>
      <c r="L72" s="52" t="str">
        <f>IFERROR(HLOOKUP($B72,FUT_18_Tot_Tot,Age25_29, FALSE)/(HLOOKUP("Total",FUT_18_Tot_Tot,Age25_29, FALSE)-HLOOKUP("Not applicable",FUT_18_Tot_Tot,Age25_29, FALSE)),":")</f>
        <v>:</v>
      </c>
      <c r="M72" s="53" t="str">
        <f>IFERROR(HLOOKUP($B72,FUT_18_Tot_Men,Age25_29, FALSE)/(HLOOKUP("Total",FUT_18_Tot_Men,Age25_29, FALSE)-HLOOKUP("Not applicable",FUT_18_Tot_Men,Age25_29, FALSE)),":")</f>
        <v>:</v>
      </c>
      <c r="N72" s="54" t="str">
        <f>IFERROR(HLOOKUP($B72,FUT_18_Tot_Women,Age25_29, FALSE)/(HLOOKUP("Total",FUT_18_Tot_Women,Age25_29, FALSE)-HLOOKUP("Not applicable",FUT_18_Tot_Women,Age25_29, FALSE)),":")</f>
        <v>:</v>
      </c>
    </row>
    <row r="73" spans="1:14" ht="16" thickBot="1" x14ac:dyDescent="0.25">
      <c r="A73" s="104" t="s">
        <v>21</v>
      </c>
      <c r="B73" s="105"/>
      <c r="C73" s="106" t="str">
        <f>IFERROR(HLOOKUP($A73,FUT_18_Tot_Tot,Age15_29, FALSE)/(HLOOKUP("Total",FUT_18_Tot_Tot,Age15_29, FALSE)-HLOOKUP("Not applicable",FUT_18_Tot_Tot,Age15_29, FALSE)),":")</f>
        <v>:</v>
      </c>
      <c r="D73" s="107" t="str">
        <f>IFERROR(HLOOKUP($A73,FUT_18_Tot_Men,Age15_29, FALSE)/(HLOOKUP("Total",FUT_18_Tot_Men,Age15_29, FALSE)-HLOOKUP("Not applicable",FUT_18_Tot_Men,Age15_29, FALSE)),":")</f>
        <v>:</v>
      </c>
      <c r="E73" s="108" t="str">
        <f>IFERROR(HLOOKUP($A73,FUT_18_Tot_Women,Age15_29, FALSE)/(HLOOKUP("Total",FUT_18_Tot_Women,Age15_29, FALSE)-HLOOKUP("Not applicable",FUT_18_Tot_Women,Age15_29, FALSE)),":")</f>
        <v>:</v>
      </c>
      <c r="F73" s="106" t="str">
        <f>IFERROR(HLOOKUP($A73,FUT_18_Tot_Tot,Age15_19, FALSE)/(HLOOKUP("Total",FUT_18_Tot_Tot,Age15_19, FALSE)-HLOOKUP("Not applicable",FUT_18_Tot_Tot,Age15_19, FALSE)),":")</f>
        <v>:</v>
      </c>
      <c r="G73" s="107" t="str">
        <f>IFERROR(HLOOKUP($A73,FUT_18_Tot_Men,Age15_19, FALSE)/(HLOOKUP("Total",FUT_18_Tot_Men,Age15_19, FALSE)-HLOOKUP("Not applicable",FUT_18_Tot_Men,Age15_19, FALSE)),":")</f>
        <v>:</v>
      </c>
      <c r="H73" s="108" t="str">
        <f>IFERROR(HLOOKUP($A73,FUT_18_Tot_Women,Age15_19, FALSE)/(HLOOKUP("Total",FUT_18_Tot_Women,Age15_19, FALSE)-HLOOKUP("Not applicable",FUT_18_Tot_Women,Age15_19, FALSE)),":")</f>
        <v>:</v>
      </c>
      <c r="I73" s="106" t="str">
        <f>IFERROR(HLOOKUP($A73,FUT_18_Tot_Tot,Age20_24, FALSE)/(HLOOKUP("Total",FUT_18_Tot_Tot,Age20_24, FALSE)-HLOOKUP("Not applicable",FUT_18_Tot_Tot,Age20_24, FALSE)),":")</f>
        <v>:</v>
      </c>
      <c r="J73" s="107" t="str">
        <f>IFERROR(HLOOKUP($A73,FUT_18_Tot_Men,Age20_24, FALSE)/(HLOOKUP("Total",FUT_18_Tot_Men,Age20_24, FALSE)-HLOOKUP("Not applicable",FUT_18_Tot_Men,Age20_24, FALSE)),":")</f>
        <v>:</v>
      </c>
      <c r="K73" s="108" t="str">
        <f>IFERROR(HLOOKUP($A73,FUT_18_Tot_Women,Age20_24, FALSE)/(HLOOKUP("Total",FUT_18_Tot_Women,Age20_24, FALSE)-HLOOKUP("Not applicable",FUT_18_Tot_Women,Age20_24, FALSE)),":")</f>
        <v>:</v>
      </c>
      <c r="L73" s="106" t="str">
        <f>IFERROR(HLOOKUP($A73,FUT_18_Tot_Tot,Age25_29, FALSE)/(HLOOKUP("Total",FUT_18_Tot_Tot,Age25_29, FALSE)-HLOOKUP("Not applicable",FUT_18_Tot_Tot,Age25_29, FALSE)),":")</f>
        <v>:</v>
      </c>
      <c r="M73" s="107" t="str">
        <f>IFERROR(HLOOKUP($A73,FUT_18_Tot_Men,Age25_29, FALSE)/(HLOOKUP("Total",FUT_18_Tot_Men,Age25_29, FALSE)-HLOOKUP("Not applicable",FUT_18_Tot_Men,Age25_29, FALSE)),":")</f>
        <v>:</v>
      </c>
      <c r="N73" s="108" t="str">
        <f>IFERROR(HLOOKUP($A73,FUT_18_Tot_Women,Age25_29, FALSE)/(HLOOKUP("Total",FUT_18_Tot_Women,Age25_29, FALSE)-HLOOKUP("Not applicable",FUT_18_Tot_Women,Age25_29, FALSE)),":")</f>
        <v>:</v>
      </c>
    </row>
    <row r="74" spans="1:14" ht="16" thickTop="1" x14ac:dyDescent="0.2"/>
    <row r="77" spans="1:14" s="45" customFormat="1" x14ac:dyDescent="0.2">
      <c r="A77" s="45" t="s">
        <v>204</v>
      </c>
      <c r="C77" s="45" t="s">
        <v>191</v>
      </c>
    </row>
    <row r="78" spans="1:14" s="45" customFormat="1" ht="58.5" customHeight="1" x14ac:dyDescent="0.2">
      <c r="A78" s="45" t="s">
        <v>205</v>
      </c>
      <c r="C78" s="346" t="s">
        <v>582</v>
      </c>
      <c r="D78" s="346"/>
      <c r="E78" s="346"/>
      <c r="F78" s="346"/>
      <c r="G78" s="346"/>
      <c r="H78" s="346"/>
      <c r="I78" s="346"/>
      <c r="J78" s="346"/>
      <c r="K78" s="346"/>
    </row>
    <row r="79" spans="1:14" ht="16" thickBot="1" x14ac:dyDescent="0.25"/>
    <row r="80" spans="1:14" ht="15.75" customHeight="1" thickTop="1" x14ac:dyDescent="0.2">
      <c r="A80" s="352" t="s">
        <v>184</v>
      </c>
      <c r="B80" s="353"/>
      <c r="C80" s="347" t="s">
        <v>228</v>
      </c>
      <c r="D80" s="348"/>
      <c r="E80" s="349"/>
      <c r="F80" s="347" t="s">
        <v>11</v>
      </c>
      <c r="G80" s="348"/>
      <c r="H80" s="349"/>
      <c r="I80" s="356" t="s">
        <v>13</v>
      </c>
      <c r="J80" s="348"/>
      <c r="K80" s="349"/>
      <c r="L80" s="347" t="s">
        <v>227</v>
      </c>
      <c r="M80" s="348"/>
      <c r="N80" s="350"/>
    </row>
    <row r="81" spans="1:14" x14ac:dyDescent="0.2">
      <c r="A81" s="354"/>
      <c r="B81" s="355"/>
      <c r="C81" s="49" t="s">
        <v>3</v>
      </c>
      <c r="D81" s="47" t="s">
        <v>4</v>
      </c>
      <c r="E81" s="48" t="s">
        <v>5</v>
      </c>
      <c r="F81" s="49" t="s">
        <v>3</v>
      </c>
      <c r="G81" s="47" t="s">
        <v>4</v>
      </c>
      <c r="H81" s="48" t="s">
        <v>5</v>
      </c>
      <c r="I81" s="46" t="s">
        <v>3</v>
      </c>
      <c r="J81" s="47" t="s">
        <v>4</v>
      </c>
      <c r="K81" s="48" t="s">
        <v>5</v>
      </c>
      <c r="L81" s="49" t="s">
        <v>3</v>
      </c>
      <c r="M81" s="47" t="s">
        <v>4</v>
      </c>
      <c r="N81" s="164" t="s">
        <v>5</v>
      </c>
    </row>
    <row r="82" spans="1:14" x14ac:dyDescent="0.2">
      <c r="A82" s="98" t="s">
        <v>185</v>
      </c>
      <c r="B82" s="99"/>
      <c r="C82" s="100" t="str">
        <f t="shared" ref="C82:E82" si="24">IF(COUNT(C83:C86)&gt;0,SUM(C83:C86),":")</f>
        <v>:</v>
      </c>
      <c r="D82" s="101" t="str">
        <f t="shared" si="24"/>
        <v>:</v>
      </c>
      <c r="E82" s="102" t="str">
        <f t="shared" si="24"/>
        <v>:</v>
      </c>
      <c r="F82" s="100" t="str">
        <f t="shared" ref="F82:K82" si="25">IF(COUNT(F83:F86)&gt;0,SUM(F83:F86),":")</f>
        <v>:</v>
      </c>
      <c r="G82" s="101" t="str">
        <f t="shared" si="25"/>
        <v>:</v>
      </c>
      <c r="H82" s="102" t="str">
        <f t="shared" si="25"/>
        <v>:</v>
      </c>
      <c r="I82" s="100" t="str">
        <f t="shared" si="25"/>
        <v>:</v>
      </c>
      <c r="J82" s="101" t="str">
        <f t="shared" si="25"/>
        <v>:</v>
      </c>
      <c r="K82" s="102" t="str">
        <f t="shared" si="25"/>
        <v>:</v>
      </c>
      <c r="L82" s="100" t="str">
        <f t="shared" ref="L82:N82" si="26">IF(COUNT(L83:L86)&gt;0,SUM(L83:L86),":")</f>
        <v>:</v>
      </c>
      <c r="M82" s="101" t="str">
        <f t="shared" si="26"/>
        <v>:</v>
      </c>
      <c r="N82" s="102" t="str">
        <f t="shared" si="26"/>
        <v>:</v>
      </c>
    </row>
    <row r="83" spans="1:14" outlineLevel="1" x14ac:dyDescent="0.2">
      <c r="A83" s="50"/>
      <c r="B83" s="60" t="s">
        <v>15</v>
      </c>
      <c r="C83" s="52" t="str">
        <f>IFERROR(HLOOKUP($B83,FUT_6_Emp_Tot,Age15_29, FALSE)/(HLOOKUP("Total",FUT_6_Emp_Tot,Age15_29, FALSE)-HLOOKUP("Not applicable",FUT_6_Emp_Tot,Age15_29, FALSE)),":")</f>
        <v>:</v>
      </c>
      <c r="D83" s="53" t="str">
        <f>IFERROR(HLOOKUP($B83,FUT_6_Emp_Men,Age15_29, FALSE)/(HLOOKUP("Total",FUT_6_Emp_Men,Age15_29, FALSE)-HLOOKUP("Not applicable",FUT_6_Emp_Men,Age15_29, FALSE)),":")</f>
        <v>:</v>
      </c>
      <c r="E83" s="54" t="str">
        <f>IFERROR(HLOOKUP($B83,FUT_6_Emp_Women,Age15_29, FALSE)/(HLOOKUP("Total",FUT_6_Emp_Women,Age15_29, FALSE)-HLOOKUP("Not applicable",FUT_6_Emp_Women,Age15_29, FALSE)),":")</f>
        <v>:</v>
      </c>
      <c r="F83" s="52" t="str">
        <f>IFERROR(HLOOKUP($B83,FUT_6_Emp_Tot,Age15_19, FALSE)/(HLOOKUP("Total",FUT_6_Emp_Tot,Age15_19, FALSE)-HLOOKUP("Not applicable",FUT_6_Emp_Tot,Age15_19, FALSE)),":")</f>
        <v>:</v>
      </c>
      <c r="G83" s="53" t="str">
        <f>IFERROR(HLOOKUP($B83,FUT_6_Emp_Men,Age15_19, FALSE)/(HLOOKUP("Total",FUT_6_Emp_Men,Age15_19, FALSE)-HLOOKUP("Not applicable",FUT_6_Emp_Men,Age15_19, FALSE)),":")</f>
        <v>:</v>
      </c>
      <c r="H83" s="54" t="str">
        <f>IFERROR(HLOOKUP($B83,FUT_6_Emp_Women,Age15_19, FALSE)/(HLOOKUP("Total",FUT_6_Emp_Women,Age15_19, FALSE)-HLOOKUP("Not applicable",FUT_6_Emp_Women,Age15_19, FALSE)),":")</f>
        <v>:</v>
      </c>
      <c r="I83" s="52" t="str">
        <f>IFERROR(HLOOKUP($B83,FUT_6_Emp_Tot,Age20_24, FALSE)/(HLOOKUP("Total",FUT_6_Emp_Tot,Age20_24, FALSE)-HLOOKUP("Not applicable",FUT_6_Emp_Tot,Age20_24, FALSE)),":")</f>
        <v>:</v>
      </c>
      <c r="J83" s="53" t="str">
        <f>IFERROR(HLOOKUP($B83,FUT_6_Emp_Men,Age20_24, FALSE)/(HLOOKUP("Total",FUT_6_Emp_Men,Age20_24, FALSE)-HLOOKUP("Not applicable",FUT_6_Emp_Men,Age20_24, FALSE)),":")</f>
        <v>:</v>
      </c>
      <c r="K83" s="54" t="str">
        <f>IFERROR(HLOOKUP($B83,FUT_6_Emp_Women,Age20_24, FALSE)/(HLOOKUP("Total",FUT_6_Emp_Women,Age20_24, FALSE)-HLOOKUP("Not applicable",FUT_6_Emp_Women,Age20_24, FALSE)),":")</f>
        <v>:</v>
      </c>
      <c r="L83" s="52" t="str">
        <f>IFERROR(HLOOKUP($B83,FUT_6_Emp_Tot,Age25_29, FALSE)/(HLOOKUP("Total",FUT_6_Emp_Tot,Age25_29, FALSE)-HLOOKUP("Not applicable",FUT_6_Emp_Tot,Age25_29, FALSE)),":")</f>
        <v>:</v>
      </c>
      <c r="M83" s="53" t="str">
        <f>IFERROR(HLOOKUP($B83,FUT_6_Emp_Men,Age25_29, FALSE)/(HLOOKUP("Total",FUT_6_Emp_Men,Age25_29, FALSE)-HLOOKUP("Not applicable",FUT_6_Emp_Men,Age25_29, FALSE)),":")</f>
        <v>:</v>
      </c>
      <c r="N83" s="54" t="str">
        <f>IFERROR(HLOOKUP($B83,FUT_6_Emp_Women,Age25_29, FALSE)/(HLOOKUP("Total",FUT_6_Emp_Women,Age25_29, FALSE)-HLOOKUP("Not applicable",FUT_6_Emp_Women,Age25_29, FALSE)),":")</f>
        <v>:</v>
      </c>
    </row>
    <row r="84" spans="1:14" outlineLevel="1" x14ac:dyDescent="0.2">
      <c r="A84" s="50"/>
      <c r="B84" s="60" t="s">
        <v>16</v>
      </c>
      <c r="C84" s="52" t="str">
        <f>IFERROR(HLOOKUP($B84,FUT_6_Emp_Tot,Age15_29, FALSE)/(HLOOKUP("Total",FUT_6_Emp_Tot,Age15_29, FALSE)-HLOOKUP("Not applicable",FUT_6_Emp_Tot,Age15_29, FALSE)),":")</f>
        <v>:</v>
      </c>
      <c r="D84" s="53" t="str">
        <f>IFERROR(HLOOKUP($B84,FUT_6_Emp_Men,Age15_29, FALSE)/(HLOOKUP("Total",FUT_6_Emp_Men,Age15_29, FALSE)-HLOOKUP("Not applicable",FUT_6_Emp_Men,Age15_29, FALSE)),":")</f>
        <v>:</v>
      </c>
      <c r="E84" s="54" t="str">
        <f>IFERROR(HLOOKUP($B84,FUT_6_Emp_Women,Age15_29, FALSE)/(HLOOKUP("Total",FUT_6_Emp_Women,Age15_29, FALSE)-HLOOKUP("Not applicable",FUT_6_Emp_Women,Age15_29, FALSE)),":")</f>
        <v>:</v>
      </c>
      <c r="F84" s="52" t="str">
        <f>IFERROR(HLOOKUP($B84,FUT_6_Emp_Tot,Age15_19, FALSE)/(HLOOKUP("Total",FUT_6_Emp_Tot,Age15_19, FALSE)-HLOOKUP("Not applicable",FUT_6_Emp_Tot,Age15_19, FALSE)),":")</f>
        <v>:</v>
      </c>
      <c r="G84" s="53" t="str">
        <f>IFERROR(HLOOKUP($B84,FUT_6_Emp_Men,Age15_19, FALSE)/(HLOOKUP("Total",FUT_6_Emp_Men,Age15_19, FALSE)-HLOOKUP("Not applicable",FUT_6_Emp_Men,Age15_19, FALSE)),":")</f>
        <v>:</v>
      </c>
      <c r="H84" s="54" t="str">
        <f>IFERROR(HLOOKUP($B84,FUT_6_Emp_Women,Age15_19, FALSE)/(HLOOKUP("Total",FUT_6_Emp_Women,Age15_19, FALSE)-HLOOKUP("Not applicable",FUT_6_Emp_Women,Age15_19, FALSE)),":")</f>
        <v>:</v>
      </c>
      <c r="I84" s="52" t="str">
        <f>IFERROR(HLOOKUP($B84,FUT_6_Emp_Tot,Age20_24, FALSE)/(HLOOKUP("Total",FUT_6_Emp_Tot,Age20_24, FALSE)-HLOOKUP("Not applicable",FUT_6_Emp_Tot,Age20_24, FALSE)),":")</f>
        <v>:</v>
      </c>
      <c r="J84" s="53" t="str">
        <f>IFERROR(HLOOKUP($B84,FUT_6_Emp_Men,Age20_24, FALSE)/(HLOOKUP("Total",FUT_6_Emp_Men,Age20_24, FALSE)-HLOOKUP("Not applicable",FUT_6_Emp_Men,Age20_24, FALSE)),":")</f>
        <v>:</v>
      </c>
      <c r="K84" s="54" t="str">
        <f>IFERROR(HLOOKUP($B84,FUT_6_Emp_Women,Age20_24, FALSE)/(HLOOKUP("Total",FUT_6_Emp_Women,Age20_24, FALSE)-HLOOKUP("Not applicable",FUT_6_Emp_Women,Age20_24, FALSE)),":")</f>
        <v>:</v>
      </c>
      <c r="L84" s="52" t="str">
        <f>IFERROR(HLOOKUP($B84,FUT_6_Emp_Tot,Age25_29, FALSE)/(HLOOKUP("Total",FUT_6_Emp_Tot,Age25_29, FALSE)-HLOOKUP("Not applicable",FUT_6_Emp_Tot,Age25_29, FALSE)),":")</f>
        <v>:</v>
      </c>
      <c r="M84" s="53" t="str">
        <f>IFERROR(HLOOKUP($B84,FUT_6_Emp_Men,Age25_29, FALSE)/(HLOOKUP("Total",FUT_6_Emp_Men,Age25_29, FALSE)-HLOOKUP("Not applicable",FUT_6_Emp_Men,Age25_29, FALSE)),":")</f>
        <v>:</v>
      </c>
      <c r="N84" s="54" t="str">
        <f>IFERROR(HLOOKUP($B84,FUT_6_Emp_Women,Age25_29, FALSE)/(HLOOKUP("Total",FUT_6_Emp_Women,Age25_29, FALSE)-HLOOKUP("Not applicable",FUT_6_Emp_Women,Age25_29, FALSE)),":")</f>
        <v>:</v>
      </c>
    </row>
    <row r="85" spans="1:14" outlineLevel="1" x14ac:dyDescent="0.2">
      <c r="A85" s="50"/>
      <c r="B85" s="60" t="s">
        <v>17</v>
      </c>
      <c r="C85" s="52" t="str">
        <f>IFERROR(HLOOKUP($B85,FUT_6_Emp_Tot,Age15_29, FALSE)/(HLOOKUP("Total",FUT_6_Emp_Tot,Age15_29, FALSE)-HLOOKUP("Not applicable",FUT_6_Emp_Tot,Age15_29, FALSE)),":")</f>
        <v>:</v>
      </c>
      <c r="D85" s="53" t="str">
        <f>IFERROR(HLOOKUP($B85,FUT_6_Emp_Men,Age15_29, FALSE)/(HLOOKUP("Total",FUT_6_Emp_Men,Age15_29, FALSE)-HLOOKUP("Not applicable",FUT_6_Emp_Men,Age15_29, FALSE)),":")</f>
        <v>:</v>
      </c>
      <c r="E85" s="54" t="str">
        <f>IFERROR(HLOOKUP($B85,FUT_6_Emp_Women,Age15_29, FALSE)/(HLOOKUP("Total",FUT_6_Emp_Women,Age15_29, FALSE)-HLOOKUP("Not applicable",FUT_6_Emp_Women,Age15_29, FALSE)),":")</f>
        <v>:</v>
      </c>
      <c r="F85" s="52" t="str">
        <f>IFERROR(HLOOKUP($B85,FUT_6_Emp_Tot,Age15_19, FALSE)/(HLOOKUP("Total",FUT_6_Emp_Tot,Age15_19, FALSE)-HLOOKUP("Not applicable",FUT_6_Emp_Tot,Age15_19, FALSE)),":")</f>
        <v>:</v>
      </c>
      <c r="G85" s="53" t="str">
        <f>IFERROR(HLOOKUP($B85,FUT_6_Emp_Men,Age15_19, FALSE)/(HLOOKUP("Total",FUT_6_Emp_Men,Age15_19, FALSE)-HLOOKUP("Not applicable",FUT_6_Emp_Men,Age15_19, FALSE)),":")</f>
        <v>:</v>
      </c>
      <c r="H85" s="54" t="str">
        <f>IFERROR(HLOOKUP($B85,FUT_6_Emp_Women,Age15_19, FALSE)/(HLOOKUP("Total",FUT_6_Emp_Women,Age15_19, FALSE)-HLOOKUP("Not applicable",FUT_6_Emp_Women,Age15_19, FALSE)),":")</f>
        <v>:</v>
      </c>
      <c r="I85" s="52" t="str">
        <f>IFERROR(HLOOKUP($B85,FUT_6_Emp_Tot,Age20_24, FALSE)/(HLOOKUP("Total",FUT_6_Emp_Tot,Age20_24, FALSE)-HLOOKUP("Not applicable",FUT_6_Emp_Tot,Age20_24, FALSE)),":")</f>
        <v>:</v>
      </c>
      <c r="J85" s="53" t="str">
        <f>IFERROR(HLOOKUP($B85,FUT_6_Emp_Men,Age20_24, FALSE)/(HLOOKUP("Total",FUT_6_Emp_Men,Age20_24, FALSE)-HLOOKUP("Not applicable",FUT_6_Emp_Men,Age20_24, FALSE)),":")</f>
        <v>:</v>
      </c>
      <c r="K85" s="54" t="str">
        <f>IFERROR(HLOOKUP($B85,FUT_6_Emp_Women,Age20_24, FALSE)/(HLOOKUP("Total",FUT_6_Emp_Women,Age20_24, FALSE)-HLOOKUP("Not applicable",FUT_6_Emp_Women,Age20_24, FALSE)),":")</f>
        <v>:</v>
      </c>
      <c r="L85" s="52" t="str">
        <f>IFERROR(HLOOKUP($B85,FUT_6_Emp_Tot,Age25_29, FALSE)/(HLOOKUP("Total",FUT_6_Emp_Tot,Age25_29, FALSE)-HLOOKUP("Not applicable",FUT_6_Emp_Tot,Age25_29, FALSE)),":")</f>
        <v>:</v>
      </c>
      <c r="M85" s="53" t="str">
        <f>IFERROR(HLOOKUP($B85,FUT_6_Emp_Men,Age25_29, FALSE)/(HLOOKUP("Total",FUT_6_Emp_Men,Age25_29, FALSE)-HLOOKUP("Not applicable",FUT_6_Emp_Men,Age25_29, FALSE)),":")</f>
        <v>:</v>
      </c>
      <c r="N85" s="54" t="str">
        <f>IFERROR(HLOOKUP($B85,FUT_6_Emp_Women,Age25_29, FALSE)/(HLOOKUP("Total",FUT_6_Emp_Women,Age25_29, FALSE)-HLOOKUP("Not applicable",FUT_6_Emp_Women,Age25_29, FALSE)),":")</f>
        <v>:</v>
      </c>
    </row>
    <row r="86" spans="1:14" outlineLevel="1" x14ac:dyDescent="0.2">
      <c r="A86" s="50"/>
      <c r="B86" s="60" t="s">
        <v>18</v>
      </c>
      <c r="C86" s="52" t="str">
        <f>IFERROR(HLOOKUP($B86,FUT_6_Emp_Tot,Age15_29, FALSE)/(HLOOKUP("Total",FUT_6_Emp_Tot,Age15_29, FALSE)-HLOOKUP("Not applicable",FUT_6_Emp_Tot,Age15_29, FALSE)),":")</f>
        <v>:</v>
      </c>
      <c r="D86" s="53" t="str">
        <f>IFERROR(HLOOKUP($B86,FUT_6_Emp_Men,Age15_29, FALSE)/(HLOOKUP("Total",FUT_6_Emp_Men,Age15_29, FALSE)-HLOOKUP("Not applicable",FUT_6_Emp_Men,Age15_29, FALSE)),":")</f>
        <v>:</v>
      </c>
      <c r="E86" s="54" t="str">
        <f>IFERROR(HLOOKUP($B86,FUT_6_Emp_Women,Age15_29, FALSE)/(HLOOKUP("Total",FUT_6_Emp_Women,Age15_29, FALSE)-HLOOKUP("Not applicable",FUT_6_Emp_Women,Age15_29, FALSE)),":")</f>
        <v>:</v>
      </c>
      <c r="F86" s="52" t="str">
        <f>IFERROR(HLOOKUP($B86,FUT_6_Emp_Tot,Age15_19, FALSE)/(HLOOKUP("Total",FUT_6_Emp_Tot,Age15_19, FALSE)-HLOOKUP("Not applicable",FUT_6_Emp_Tot,Age15_19, FALSE)),":")</f>
        <v>:</v>
      </c>
      <c r="G86" s="53" t="str">
        <f>IFERROR(HLOOKUP($B86,FUT_6_Emp_Men,Age15_19, FALSE)/(HLOOKUP("Total",FUT_6_Emp_Men,Age15_19, FALSE)-HLOOKUP("Not applicable",FUT_6_Emp_Men,Age15_19, FALSE)),":")</f>
        <v>:</v>
      </c>
      <c r="H86" s="54" t="str">
        <f>IFERROR(HLOOKUP($B86,FUT_6_Emp_Women,Age15_19, FALSE)/(HLOOKUP("Total",FUT_6_Emp_Women,Age15_19, FALSE)-HLOOKUP("Not applicable",FUT_6_Emp_Women,Age15_19, FALSE)),":")</f>
        <v>:</v>
      </c>
      <c r="I86" s="52" t="str">
        <f>IFERROR(HLOOKUP($B86,FUT_6_Emp_Tot,Age20_24, FALSE)/(HLOOKUP("Total",FUT_6_Emp_Tot,Age20_24, FALSE)-HLOOKUP("Not applicable",FUT_6_Emp_Tot,Age20_24, FALSE)),":")</f>
        <v>:</v>
      </c>
      <c r="J86" s="53" t="str">
        <f>IFERROR(HLOOKUP($B86,FUT_6_Emp_Men,Age20_24, FALSE)/(HLOOKUP("Total",FUT_6_Emp_Men,Age20_24, FALSE)-HLOOKUP("Not applicable",FUT_6_Emp_Men,Age20_24, FALSE)),":")</f>
        <v>:</v>
      </c>
      <c r="K86" s="54" t="str">
        <f>IFERROR(HLOOKUP($B86,FUT_6_Emp_Women,Age20_24, FALSE)/(HLOOKUP("Total",FUT_6_Emp_Women,Age20_24, FALSE)-HLOOKUP("Not applicable",FUT_6_Emp_Women,Age20_24, FALSE)),":")</f>
        <v>:</v>
      </c>
      <c r="L86" s="52" t="str">
        <f>IFERROR(HLOOKUP($B86,FUT_6_Emp_Tot,Age25_29, FALSE)/(HLOOKUP("Total",FUT_6_Emp_Tot,Age25_29, FALSE)-HLOOKUP("Not applicable",FUT_6_Emp_Tot,Age25_29, FALSE)),":")</f>
        <v>:</v>
      </c>
      <c r="M86" s="53" t="str">
        <f>IFERROR(HLOOKUP($B86,FUT_6_Emp_Men,Age25_29, FALSE)/(HLOOKUP("Total",FUT_6_Emp_Men,Age25_29, FALSE)-HLOOKUP("Not applicable",FUT_6_Emp_Men,Age25_29, FALSE)),":")</f>
        <v>:</v>
      </c>
      <c r="N86" s="54" t="str">
        <f>IFERROR(HLOOKUP($B86,FUT_6_Emp_Women,Age25_29, FALSE)/(HLOOKUP("Total",FUT_6_Emp_Women,Age25_29, FALSE)-HLOOKUP("Not applicable",FUT_6_Emp_Women,Age25_29, FALSE)),":")</f>
        <v>:</v>
      </c>
    </row>
    <row r="87" spans="1:14" x14ac:dyDescent="0.2">
      <c r="A87" s="98" t="s">
        <v>186</v>
      </c>
      <c r="B87" s="103"/>
      <c r="C87" s="100" t="str">
        <f t="shared" ref="C87:E87" si="27">IF(COUNT(C88:C89)&gt;0,SUM(C88:C89),":")</f>
        <v>:</v>
      </c>
      <c r="D87" s="101" t="str">
        <f t="shared" si="27"/>
        <v>:</v>
      </c>
      <c r="E87" s="102" t="str">
        <f t="shared" si="27"/>
        <v>:</v>
      </c>
      <c r="F87" s="100" t="str">
        <f t="shared" ref="F87:K87" si="28">IF(COUNT(F88:F89)&gt;0,SUM(F88:F89),":")</f>
        <v>:</v>
      </c>
      <c r="G87" s="101" t="str">
        <f t="shared" si="28"/>
        <v>:</v>
      </c>
      <c r="H87" s="102" t="str">
        <f t="shared" si="28"/>
        <v>:</v>
      </c>
      <c r="I87" s="100" t="str">
        <f t="shared" si="28"/>
        <v>:</v>
      </c>
      <c r="J87" s="101" t="str">
        <f t="shared" si="28"/>
        <v>:</v>
      </c>
      <c r="K87" s="102" t="str">
        <f t="shared" si="28"/>
        <v>:</v>
      </c>
      <c r="L87" s="100" t="str">
        <f t="shared" ref="L87:N87" si="29">IF(COUNT(L88:L89)&gt;0,SUM(L88:L89),":")</f>
        <v>:</v>
      </c>
      <c r="M87" s="101" t="str">
        <f t="shared" si="29"/>
        <v>:</v>
      </c>
      <c r="N87" s="102" t="str">
        <f t="shared" si="29"/>
        <v>:</v>
      </c>
    </row>
    <row r="88" spans="1:14" outlineLevel="1" x14ac:dyDescent="0.2">
      <c r="A88" s="50"/>
      <c r="B88" s="60" t="s">
        <v>20</v>
      </c>
      <c r="C88" s="52" t="str">
        <f>IFERROR(HLOOKUP($B88,FUT_6_Emp_Tot,Age15_29, FALSE)/(HLOOKUP("Total",FUT_6_Emp_Tot,Age15_29, FALSE)-HLOOKUP("Not applicable",FUT_6_Emp_Tot,Age15_29, FALSE)),":")</f>
        <v>:</v>
      </c>
      <c r="D88" s="53" t="str">
        <f>IFERROR(HLOOKUP($B88,FUT_6_Emp_Men,Age15_29, FALSE)/(HLOOKUP("Total",FUT_6_Emp_Men,Age15_29, FALSE)-HLOOKUP("Not applicable",FUT_6_Emp_Men,Age15_29, FALSE)),":")</f>
        <v>:</v>
      </c>
      <c r="E88" s="54" t="str">
        <f>IFERROR(HLOOKUP($B88,FUT_6_Emp_Women,Age15_29, FALSE)/(HLOOKUP("Total",FUT_6_Emp_Women,Age15_29, FALSE)-HLOOKUP("Not applicable",FUT_6_Emp_Women,Age15_29, FALSE)),":")</f>
        <v>:</v>
      </c>
      <c r="F88" s="52" t="str">
        <f>IFERROR(HLOOKUP($B88,FUT_6_Emp_Tot,Age15_19, FALSE)/(HLOOKUP("Total",FUT_6_Emp_Tot,Age15_19, FALSE)-HLOOKUP("Not applicable",FUT_6_Emp_Tot,Age15_19, FALSE)),":")</f>
        <v>:</v>
      </c>
      <c r="G88" s="53" t="str">
        <f>IFERROR(HLOOKUP($B88,FUT_6_Emp_Men,Age15_19, FALSE)/(HLOOKUP("Total",FUT_6_Emp_Men,Age15_19, FALSE)-HLOOKUP("Not applicable",FUT_6_Emp_Men,Age15_19, FALSE)),":")</f>
        <v>:</v>
      </c>
      <c r="H88" s="54" t="str">
        <f>IFERROR(HLOOKUP($B88,FUT_6_Emp_Women,Age15_19, FALSE)/(HLOOKUP("Total",FUT_6_Emp_Women,Age15_19, FALSE)-HLOOKUP("Not applicable",FUT_6_Emp_Women,Age15_19, FALSE)),":")</f>
        <v>:</v>
      </c>
      <c r="I88" s="52" t="str">
        <f>IFERROR(HLOOKUP($B88,FUT_6_Emp_Tot,Age20_24, FALSE)/(HLOOKUP("Total",FUT_6_Emp_Tot,Age20_24, FALSE)-HLOOKUP("Not applicable",FUT_6_Emp_Tot,Age20_24, FALSE)),":")</f>
        <v>:</v>
      </c>
      <c r="J88" s="53" t="str">
        <f>IFERROR(HLOOKUP($B88,FUT_6_Emp_Men,Age20_24, FALSE)/(HLOOKUP("Total",FUT_6_Emp_Men,Age20_24, FALSE)-HLOOKUP("Not applicable",FUT_6_Emp_Men,Age20_24, FALSE)),":")</f>
        <v>:</v>
      </c>
      <c r="K88" s="54" t="str">
        <f>IFERROR(HLOOKUP($B88,FUT_6_Emp_Women,Age20_24, FALSE)/(HLOOKUP("Total",FUT_6_Emp_Women,Age20_24, FALSE)-HLOOKUP("Not applicable",FUT_6_Emp_Women,Age20_24, FALSE)),":")</f>
        <v>:</v>
      </c>
      <c r="L88" s="52" t="str">
        <f>IFERROR(HLOOKUP($B88,FUT_6_Emp_Tot,Age25_29, FALSE)/(HLOOKUP("Total",FUT_6_Emp_Tot,Age25_29, FALSE)-HLOOKUP("Not applicable",FUT_6_Emp_Tot,Age25_29, FALSE)),":")</f>
        <v>:</v>
      </c>
      <c r="M88" s="53" t="str">
        <f>IFERROR(HLOOKUP($B88,FUT_6_Emp_Men,Age25_29, FALSE)/(HLOOKUP("Total",FUT_6_Emp_Men,Age25_29, FALSE)-HLOOKUP("Not applicable",FUT_6_Emp_Men,Age25_29, FALSE)),":")</f>
        <v>:</v>
      </c>
      <c r="N88" s="54" t="str">
        <f>IFERROR(HLOOKUP($B88,FUT_6_Emp_Women,Age25_29, FALSE)/(HLOOKUP("Total",FUT_6_Emp_Women,Age25_29, FALSE)-HLOOKUP("Not applicable",FUT_6_Emp_Women,Age25_29, FALSE)),":")</f>
        <v>:</v>
      </c>
    </row>
    <row r="89" spans="1:14" outlineLevel="1" x14ac:dyDescent="0.2">
      <c r="A89" s="50"/>
      <c r="B89" s="60" t="s">
        <v>91</v>
      </c>
      <c r="C89" s="52" t="str">
        <f>IFERROR(HLOOKUP($B89,FUT_6_Emp_Tot,Age15_29, FALSE)/(HLOOKUP("Total",FUT_6_Emp_Tot,Age15_29, FALSE)-HLOOKUP("Not applicable",FUT_6_Emp_Tot,Age15_29, FALSE)),":")</f>
        <v>:</v>
      </c>
      <c r="D89" s="53" t="str">
        <f>IFERROR(HLOOKUP($B89,FUT_6_Emp_Men,Age15_29, FALSE)/(HLOOKUP("Total",FUT_6_Emp_Men,Age15_29, FALSE)-HLOOKUP("Not applicable",FUT_6_Emp_Men,Age15_29, FALSE)),":")</f>
        <v>:</v>
      </c>
      <c r="E89" s="54" t="str">
        <f>IFERROR(HLOOKUP($B89,FUT_6_Emp_Women,Age15_29, FALSE)/(HLOOKUP("Total",FUT_6_Emp_Women,Age15_29, FALSE)-HLOOKUP("Not applicable",FUT_6_Emp_Women,Age15_29, FALSE)),":")</f>
        <v>:</v>
      </c>
      <c r="F89" s="52" t="str">
        <f>IFERROR(HLOOKUP($B89,FUT_6_Emp_Tot,Age15_19, FALSE)/(HLOOKUP("Total",FUT_6_Emp_Tot,Age15_19, FALSE)-HLOOKUP("Not applicable",FUT_6_Emp_Tot,Age15_19, FALSE)),":")</f>
        <v>:</v>
      </c>
      <c r="G89" s="53" t="str">
        <f>IFERROR(HLOOKUP($B89,FUT_6_Emp_Men,Age15_19, FALSE)/(HLOOKUP("Total",FUT_6_Emp_Men,Age15_19, FALSE)-HLOOKUP("Not applicable",FUT_6_Emp_Men,Age15_19, FALSE)),":")</f>
        <v>:</v>
      </c>
      <c r="H89" s="54" t="str">
        <f>IFERROR(HLOOKUP($B89,FUT_6_Emp_Women,Age15_19, FALSE)/(HLOOKUP("Total",FUT_6_Emp_Women,Age15_19, FALSE)-HLOOKUP("Not applicable",FUT_6_Emp_Women,Age15_19, FALSE)),":")</f>
        <v>:</v>
      </c>
      <c r="I89" s="52" t="str">
        <f>IFERROR(HLOOKUP($B89,FUT_6_Emp_Tot,Age20_24, FALSE)/(HLOOKUP("Total",FUT_6_Emp_Tot,Age20_24, FALSE)-HLOOKUP("Not applicable",FUT_6_Emp_Tot,Age20_24, FALSE)),":")</f>
        <v>:</v>
      </c>
      <c r="J89" s="53" t="str">
        <f>IFERROR(HLOOKUP($B89,FUT_6_Emp_Men,Age20_24, FALSE)/(HLOOKUP("Total",FUT_6_Emp_Men,Age20_24, FALSE)-HLOOKUP("Not applicable",FUT_6_Emp_Men,Age20_24, FALSE)),":")</f>
        <v>:</v>
      </c>
      <c r="K89" s="54" t="str">
        <f>IFERROR(HLOOKUP($B89,FUT_6_Emp_Women,Age20_24, FALSE)/(HLOOKUP("Total",FUT_6_Emp_Women,Age20_24, FALSE)-HLOOKUP("Not applicable",FUT_6_Emp_Women,Age20_24, FALSE)),":")</f>
        <v>:</v>
      </c>
      <c r="L89" s="52" t="str">
        <f>IFERROR(HLOOKUP($B89,FUT_6_Emp_Tot,Age25_29, FALSE)/(HLOOKUP("Total",FUT_6_Emp_Tot,Age25_29, FALSE)-HLOOKUP("Not applicable",FUT_6_Emp_Tot,Age25_29, FALSE)),":")</f>
        <v>:</v>
      </c>
      <c r="M89" s="53" t="str">
        <f>IFERROR(HLOOKUP($B89,FUT_6_Emp_Men,Age25_29, FALSE)/(HLOOKUP("Total",FUT_6_Emp_Men,Age25_29, FALSE)-HLOOKUP("Not applicable",FUT_6_Emp_Men,Age25_29, FALSE)),":")</f>
        <v>:</v>
      </c>
      <c r="N89" s="54" t="str">
        <f>IFERROR(HLOOKUP($B89,FUT_6_Emp_Women,Age25_29, FALSE)/(HLOOKUP("Total",FUT_6_Emp_Women,Age25_29, FALSE)-HLOOKUP("Not applicable",FUT_6_Emp_Women,Age25_29, FALSE)),":")</f>
        <v>:</v>
      </c>
    </row>
    <row r="90" spans="1:14" ht="16" thickBot="1" x14ac:dyDescent="0.25">
      <c r="A90" s="104" t="s">
        <v>21</v>
      </c>
      <c r="B90" s="105"/>
      <c r="C90" s="106" t="str">
        <f>IFERROR(HLOOKUP($A90,FUT_6_Emp_Tot,Age15_29, FALSE)/(HLOOKUP("Total",FUT_6_Emp_Tot,Age15_29, FALSE)-HLOOKUP("Not applicable",FUT_6_Emp_Tot,Age15_29, FALSE)),":")</f>
        <v>:</v>
      </c>
      <c r="D90" s="107" t="str">
        <f>IFERROR(HLOOKUP($A90,FUT_6_Emp_Men,Age15_29, FALSE)/(HLOOKUP("Total",FUT_6_Emp_Men,Age15_29, FALSE)-HLOOKUP("Not applicable",FUT_6_Emp_Men,Age15_29, FALSE)),":")</f>
        <v>:</v>
      </c>
      <c r="E90" s="108" t="str">
        <f>IFERROR(HLOOKUP($A90,FUT_6_Emp_Women,Age15_29, FALSE)/(HLOOKUP("Total",FUT_6_Emp_Women,Age15_29, FALSE)-HLOOKUP("Not applicable",FUT_6_Emp_Women,Age15_29, FALSE)),":")</f>
        <v>:</v>
      </c>
      <c r="F90" s="106" t="str">
        <f>IFERROR(HLOOKUP($A90,FUT_6_Emp_Tot,Age15_19, FALSE)/(HLOOKUP("Total",FUT_6_Emp_Tot,Age15_19, FALSE)-HLOOKUP("Not applicable",FUT_6_Emp_Tot,Age15_19, FALSE)),":")</f>
        <v>:</v>
      </c>
      <c r="G90" s="107" t="str">
        <f>IFERROR(HLOOKUP($A90,FUT_6_Emp_Men,Age15_19, FALSE)/(HLOOKUP("Total",FUT_6_Emp_Men,Age15_19, FALSE)-HLOOKUP("Not applicable",FUT_6_Emp_Men,Age15_19, FALSE)),":")</f>
        <v>:</v>
      </c>
      <c r="H90" s="108" t="str">
        <f>IFERROR(HLOOKUP($A90,FUT_6_Emp_Women,Age15_19, FALSE)/(HLOOKUP("Total",FUT_6_Emp_Women,Age15_19, FALSE)-HLOOKUP("Not applicable",FUT_6_Emp_Women,Age15_19, FALSE)),":")</f>
        <v>:</v>
      </c>
      <c r="I90" s="106" t="str">
        <f>IFERROR(HLOOKUP($A90,FUT_6_Emp_Tot,Age20_24, FALSE)/(HLOOKUP("Total",FUT_6_Emp_Tot,Age20_24, FALSE)-HLOOKUP("Not applicable",FUT_6_Emp_Tot,Age20_24, FALSE)),":")</f>
        <v>:</v>
      </c>
      <c r="J90" s="107" t="str">
        <f>IFERROR(HLOOKUP($A90,FUT_6_Emp_Men,Age20_24, FALSE)/(HLOOKUP("Total",FUT_6_Emp_Men,Age20_24, FALSE)-HLOOKUP("Not applicable",FUT_6_Emp_Men,Age20_24, FALSE)),":")</f>
        <v>:</v>
      </c>
      <c r="K90" s="108" t="str">
        <f>IFERROR(HLOOKUP($A90,FUT_6_Emp_Women,Age20_24, FALSE)/(HLOOKUP("Total",FUT_6_Emp_Women,Age20_24, FALSE)-HLOOKUP("Not applicable",FUT_6_Emp_Women,Age20_24, FALSE)),":")</f>
        <v>:</v>
      </c>
      <c r="L90" s="106" t="str">
        <f>IFERROR(HLOOKUP($A90,FUT_6_Emp_Tot,Age25_29, FALSE)/(HLOOKUP("Total",FUT_6_Emp_Tot,Age25_29, FALSE)-HLOOKUP("Not applicable",FUT_6_Emp_Tot,Age25_29, FALSE)),":")</f>
        <v>:</v>
      </c>
      <c r="M90" s="107" t="str">
        <f>IFERROR(HLOOKUP($A90,FUT_6_Emp_Men,Age25_29, FALSE)/(HLOOKUP("Total",FUT_6_Emp_Men,Age25_29, FALSE)-HLOOKUP("Not applicable",FUT_6_Emp_Men,Age25_29, FALSE)),":")</f>
        <v>:</v>
      </c>
      <c r="N90" s="108" t="str">
        <f>IFERROR(HLOOKUP($A90,FUT_6_Emp_Women,Age25_29, FALSE)/(HLOOKUP("Total",FUT_6_Emp_Women,Age25_29, FALSE)-HLOOKUP("Not applicable",FUT_6_Emp_Women,Age25_29, FALSE)),":")</f>
        <v>:</v>
      </c>
    </row>
    <row r="91" spans="1:14" ht="17" thickTop="1" thickBot="1" x14ac:dyDescent="0.25"/>
    <row r="92" spans="1:14" ht="15.75" customHeight="1" thickTop="1" x14ac:dyDescent="0.2">
      <c r="A92" s="352" t="s">
        <v>189</v>
      </c>
      <c r="B92" s="353"/>
      <c r="C92" s="347" t="s">
        <v>228</v>
      </c>
      <c r="D92" s="348"/>
      <c r="E92" s="349"/>
      <c r="F92" s="347" t="s">
        <v>11</v>
      </c>
      <c r="G92" s="348"/>
      <c r="H92" s="349"/>
      <c r="I92" s="356" t="s">
        <v>13</v>
      </c>
      <c r="J92" s="348"/>
      <c r="K92" s="349"/>
      <c r="L92" s="347" t="s">
        <v>227</v>
      </c>
      <c r="M92" s="348"/>
      <c r="N92" s="350"/>
    </row>
    <row r="93" spans="1:14" x14ac:dyDescent="0.2">
      <c r="A93" s="354"/>
      <c r="B93" s="355"/>
      <c r="C93" s="49" t="s">
        <v>3</v>
      </c>
      <c r="D93" s="47" t="s">
        <v>4</v>
      </c>
      <c r="E93" s="48" t="s">
        <v>5</v>
      </c>
      <c r="F93" s="49" t="s">
        <v>3</v>
      </c>
      <c r="G93" s="47" t="s">
        <v>4</v>
      </c>
      <c r="H93" s="48" t="s">
        <v>5</v>
      </c>
      <c r="I93" s="46" t="s">
        <v>3</v>
      </c>
      <c r="J93" s="47" t="s">
        <v>4</v>
      </c>
      <c r="K93" s="48" t="s">
        <v>5</v>
      </c>
      <c r="L93" s="49" t="s">
        <v>3</v>
      </c>
      <c r="M93" s="47" t="s">
        <v>4</v>
      </c>
      <c r="N93" s="164" t="s">
        <v>5</v>
      </c>
    </row>
    <row r="94" spans="1:14" x14ac:dyDescent="0.2">
      <c r="A94" s="98" t="s">
        <v>185</v>
      </c>
      <c r="B94" s="99"/>
      <c r="C94" s="100" t="str">
        <f t="shared" ref="C94:E94" si="30">IF(COUNT(C95:C98)&gt;0,SUM(C95:C98),":")</f>
        <v>:</v>
      </c>
      <c r="D94" s="101" t="str">
        <f t="shared" si="30"/>
        <v>:</v>
      </c>
      <c r="E94" s="102" t="str">
        <f t="shared" si="30"/>
        <v>:</v>
      </c>
      <c r="F94" s="100" t="str">
        <f t="shared" ref="F94:K94" si="31">IF(COUNT(F95:F98)&gt;0,SUM(F95:F98),":")</f>
        <v>:</v>
      </c>
      <c r="G94" s="101" t="str">
        <f t="shared" si="31"/>
        <v>:</v>
      </c>
      <c r="H94" s="102" t="str">
        <f t="shared" si="31"/>
        <v>:</v>
      </c>
      <c r="I94" s="100" t="str">
        <f t="shared" si="31"/>
        <v>:</v>
      </c>
      <c r="J94" s="101" t="str">
        <f t="shared" si="31"/>
        <v>:</v>
      </c>
      <c r="K94" s="102" t="str">
        <f t="shared" si="31"/>
        <v>:</v>
      </c>
      <c r="L94" s="100" t="str">
        <f t="shared" ref="L94:N94" si="32">IF(COUNT(L95:L98)&gt;0,SUM(L95:L98),":")</f>
        <v>:</v>
      </c>
      <c r="M94" s="101" t="str">
        <f t="shared" si="32"/>
        <v>:</v>
      </c>
      <c r="N94" s="102" t="str">
        <f t="shared" si="32"/>
        <v>:</v>
      </c>
    </row>
    <row r="95" spans="1:14" outlineLevel="1" x14ac:dyDescent="0.2">
      <c r="A95" s="50"/>
      <c r="B95" s="60" t="s">
        <v>15</v>
      </c>
      <c r="C95" s="52" t="str">
        <f>IFERROR(HLOOKUP($B95,FUT_12_Emp_Tot,Age15_29, FALSE)/(HLOOKUP("Total",FUT_12_Emp_Tot,Age15_29, FALSE)-HLOOKUP("Not applicable",FUT_12_Emp_Tot,Age15_29, FALSE)),":")</f>
        <v>:</v>
      </c>
      <c r="D95" s="53" t="str">
        <f>IFERROR(HLOOKUP($B95,FUT_12_Emp_Men,Age15_29, FALSE)/(HLOOKUP("Total",FUT_12_Emp_Men,Age15_29, FALSE)-HLOOKUP("Not applicable",FUT_12_Emp_Men,Age15_29, FALSE)),":")</f>
        <v>:</v>
      </c>
      <c r="E95" s="54" t="str">
        <f>IFERROR(HLOOKUP($B95,FUT_12_Emp_Women,Age15_29, FALSE)/(HLOOKUP("Total",FUT_12_Emp_Women,Age15_29, FALSE)-HLOOKUP("Not applicable",FUT_12_Emp_Women,Age15_29, FALSE)),":")</f>
        <v>:</v>
      </c>
      <c r="F95" s="52" t="str">
        <f>IFERROR(HLOOKUP($B95,FUT_12_Emp_Tot,Age15_19, FALSE)/(HLOOKUP("Total",FUT_12_Emp_Tot,Age15_19, FALSE)-HLOOKUP("Not applicable",FUT_12_Emp_Tot,Age15_19, FALSE)),":")</f>
        <v>:</v>
      </c>
      <c r="G95" s="53" t="str">
        <f>IFERROR(HLOOKUP($B95,FUT_12_Emp_Men,Age15_19, FALSE)/(HLOOKUP("Total",FUT_12_Emp_Men,Age15_19, FALSE)-HLOOKUP("Not applicable",FUT_12_Emp_Men,Age15_19, FALSE)),":")</f>
        <v>:</v>
      </c>
      <c r="H95" s="54" t="str">
        <f>IFERROR(HLOOKUP($B95,FUT_12_Emp_Women,Age15_19, FALSE)/(HLOOKUP("Total",FUT_12_Emp_Women,Age15_19, FALSE)-HLOOKUP("Not applicable",FUT_12_Emp_Women,Age15_19, FALSE)),":")</f>
        <v>:</v>
      </c>
      <c r="I95" s="52" t="str">
        <f>IFERROR(HLOOKUP($B95,FUT_12_Emp_Tot,Age20_24, FALSE)/(HLOOKUP("Total",FUT_12_Emp_Tot,Age20_24, FALSE)-HLOOKUP("Not applicable",FUT_12_Emp_Tot,Age20_24, FALSE)),":")</f>
        <v>:</v>
      </c>
      <c r="J95" s="53" t="str">
        <f>IFERROR(HLOOKUP($B95,FUT_12_Emp_Men,Age20_24, FALSE)/(HLOOKUP("Total",FUT_12_Emp_Men,Age20_24, FALSE)-HLOOKUP("Not applicable",FUT_12_Emp_Men,Age20_24, FALSE)),":")</f>
        <v>:</v>
      </c>
      <c r="K95" s="54" t="str">
        <f>IFERROR(HLOOKUP($B95,FUT_12_Emp_Women,Age20_24, FALSE)/(HLOOKUP("Total",FUT_12_Emp_Women,Age20_24, FALSE)-HLOOKUP("Not applicable",FUT_12_Emp_Women,Age20_24, FALSE)),":")</f>
        <v>:</v>
      </c>
      <c r="L95" s="52" t="str">
        <f>IFERROR(HLOOKUP($B95,FUT_12_Emp_Tot,Age25_29, FALSE)/(HLOOKUP("Total",FUT_12_Emp_Tot,Age25_29, FALSE)-HLOOKUP("Not applicable",FUT_12_Emp_Tot,Age25_29, FALSE)),":")</f>
        <v>:</v>
      </c>
      <c r="M95" s="53" t="str">
        <f>IFERROR(HLOOKUP($B95,FUT_12_Emp_Men,Age25_29, FALSE)/(HLOOKUP("Total",FUT_12_Emp_Men,Age25_29, FALSE)-HLOOKUP("Not applicable",FUT_12_Emp_Men,Age25_29, FALSE)),":")</f>
        <v>:</v>
      </c>
      <c r="N95" s="54" t="str">
        <f>IFERROR(HLOOKUP($B95,FUT_12_Emp_Women,Age25_29, FALSE)/(HLOOKUP("Total",FUT_12_Emp_Women,Age25_29, FALSE)-HLOOKUP("Not applicable",FUT_12_Emp_Women,Age25_29, FALSE)),":")</f>
        <v>:</v>
      </c>
    </row>
    <row r="96" spans="1:14" outlineLevel="1" x14ac:dyDescent="0.2">
      <c r="A96" s="50"/>
      <c r="B96" s="60" t="s">
        <v>16</v>
      </c>
      <c r="C96" s="52" t="str">
        <f>IFERROR(HLOOKUP($B96,FUT_12_Emp_Tot,Age15_29, FALSE)/(HLOOKUP("Total",FUT_12_Emp_Tot,Age15_29, FALSE)-HLOOKUP("Not applicable",FUT_12_Emp_Tot,Age15_29, FALSE)),":")</f>
        <v>:</v>
      </c>
      <c r="D96" s="53" t="str">
        <f>IFERROR(HLOOKUP($B96,FUT_12_Emp_Men,Age15_29, FALSE)/(HLOOKUP("Total",FUT_12_Emp_Men,Age15_29, FALSE)-HLOOKUP("Not applicable",FUT_12_Emp_Men,Age15_29, FALSE)),":")</f>
        <v>:</v>
      </c>
      <c r="E96" s="54" t="str">
        <f>IFERROR(HLOOKUP($B96,FUT_12_Emp_Women,Age15_29, FALSE)/(HLOOKUP("Total",FUT_12_Emp_Women,Age15_29, FALSE)-HLOOKUP("Not applicable",FUT_12_Emp_Women,Age15_29, FALSE)),":")</f>
        <v>:</v>
      </c>
      <c r="F96" s="52" t="str">
        <f>IFERROR(HLOOKUP($B96,FUT_12_Emp_Tot,Age15_19, FALSE)/(HLOOKUP("Total",FUT_12_Emp_Tot,Age15_19, FALSE)-HLOOKUP("Not applicable",FUT_12_Emp_Tot,Age15_19, FALSE)),":")</f>
        <v>:</v>
      </c>
      <c r="G96" s="53" t="str">
        <f>IFERROR(HLOOKUP($B96,FUT_12_Emp_Men,Age15_19, FALSE)/(HLOOKUP("Total",FUT_12_Emp_Men,Age15_19, FALSE)-HLOOKUP("Not applicable",FUT_12_Emp_Men,Age15_19, FALSE)),":")</f>
        <v>:</v>
      </c>
      <c r="H96" s="54" t="str">
        <f>IFERROR(HLOOKUP($B96,FUT_12_Emp_Women,Age15_19, FALSE)/(HLOOKUP("Total",FUT_12_Emp_Women,Age15_19, FALSE)-HLOOKUP("Not applicable",FUT_12_Emp_Women,Age15_19, FALSE)),":")</f>
        <v>:</v>
      </c>
      <c r="I96" s="52" t="str">
        <f>IFERROR(HLOOKUP($B96,FUT_12_Emp_Tot,Age20_24, FALSE)/(HLOOKUP("Total",FUT_12_Emp_Tot,Age20_24, FALSE)-HLOOKUP("Not applicable",FUT_12_Emp_Tot,Age20_24, FALSE)),":")</f>
        <v>:</v>
      </c>
      <c r="J96" s="53" t="str">
        <f>IFERROR(HLOOKUP($B96,FUT_12_Emp_Men,Age20_24, FALSE)/(HLOOKUP("Total",FUT_12_Emp_Men,Age20_24, FALSE)-HLOOKUP("Not applicable",FUT_12_Emp_Men,Age20_24, FALSE)),":")</f>
        <v>:</v>
      </c>
      <c r="K96" s="54" t="str">
        <f>IFERROR(HLOOKUP($B96,FUT_12_Emp_Women,Age20_24, FALSE)/(HLOOKUP("Total",FUT_12_Emp_Women,Age20_24, FALSE)-HLOOKUP("Not applicable",FUT_12_Emp_Women,Age20_24, FALSE)),":")</f>
        <v>:</v>
      </c>
      <c r="L96" s="52" t="str">
        <f>IFERROR(HLOOKUP($B96,FUT_12_Emp_Tot,Age25_29, FALSE)/(HLOOKUP("Total",FUT_12_Emp_Tot,Age25_29, FALSE)-HLOOKUP("Not applicable",FUT_12_Emp_Tot,Age25_29, FALSE)),":")</f>
        <v>:</v>
      </c>
      <c r="M96" s="53" t="str">
        <f>IFERROR(HLOOKUP($B96,FUT_12_Emp_Men,Age25_29, FALSE)/(HLOOKUP("Total",FUT_12_Emp_Men,Age25_29, FALSE)-HLOOKUP("Not applicable",FUT_12_Emp_Men,Age25_29, FALSE)),":")</f>
        <v>:</v>
      </c>
      <c r="N96" s="54" t="str">
        <f>IFERROR(HLOOKUP($B96,FUT_12_Emp_Women,Age25_29, FALSE)/(HLOOKUP("Total",FUT_12_Emp_Women,Age25_29, FALSE)-HLOOKUP("Not applicable",FUT_12_Emp_Women,Age25_29, FALSE)),":")</f>
        <v>:</v>
      </c>
    </row>
    <row r="97" spans="1:14" outlineLevel="1" x14ac:dyDescent="0.2">
      <c r="A97" s="50"/>
      <c r="B97" s="60" t="s">
        <v>17</v>
      </c>
      <c r="C97" s="52" t="str">
        <f>IFERROR(HLOOKUP($B97,FUT_12_Emp_Tot,Age15_29, FALSE)/(HLOOKUP("Total",FUT_12_Emp_Tot,Age15_29, FALSE)-HLOOKUP("Not applicable",FUT_12_Emp_Tot,Age15_29, FALSE)),":")</f>
        <v>:</v>
      </c>
      <c r="D97" s="53" t="str">
        <f>IFERROR(HLOOKUP($B97,FUT_12_Emp_Men,Age15_29, FALSE)/(HLOOKUP("Total",FUT_12_Emp_Men,Age15_29, FALSE)-HLOOKUP("Not applicable",FUT_12_Emp_Men,Age15_29, FALSE)),":")</f>
        <v>:</v>
      </c>
      <c r="E97" s="54" t="str">
        <f>IFERROR(HLOOKUP($B97,FUT_12_Emp_Women,Age15_29, FALSE)/(HLOOKUP("Total",FUT_12_Emp_Women,Age15_29, FALSE)-HLOOKUP("Not applicable",FUT_12_Emp_Women,Age15_29, FALSE)),":")</f>
        <v>:</v>
      </c>
      <c r="F97" s="52" t="str">
        <f>IFERROR(HLOOKUP($B97,FUT_12_Emp_Tot,Age15_19, FALSE)/(HLOOKUP("Total",FUT_12_Emp_Tot,Age15_19, FALSE)-HLOOKUP("Not applicable",FUT_12_Emp_Tot,Age15_19, FALSE)),":")</f>
        <v>:</v>
      </c>
      <c r="G97" s="53" t="str">
        <f>IFERROR(HLOOKUP($B97,FUT_12_Emp_Men,Age15_19, FALSE)/(HLOOKUP("Total",FUT_12_Emp_Men,Age15_19, FALSE)-HLOOKUP("Not applicable",FUT_12_Emp_Men,Age15_19, FALSE)),":")</f>
        <v>:</v>
      </c>
      <c r="H97" s="54" t="str">
        <f>IFERROR(HLOOKUP($B97,FUT_12_Emp_Women,Age15_19, FALSE)/(HLOOKUP("Total",FUT_12_Emp_Women,Age15_19, FALSE)-HLOOKUP("Not applicable",FUT_12_Emp_Women,Age15_19, FALSE)),":")</f>
        <v>:</v>
      </c>
      <c r="I97" s="52" t="str">
        <f>IFERROR(HLOOKUP($B97,FUT_12_Emp_Tot,Age20_24, FALSE)/(HLOOKUP("Total",FUT_12_Emp_Tot,Age20_24, FALSE)-HLOOKUP("Not applicable",FUT_12_Emp_Tot,Age20_24, FALSE)),":")</f>
        <v>:</v>
      </c>
      <c r="J97" s="53" t="str">
        <f>IFERROR(HLOOKUP($B97,FUT_12_Emp_Men,Age20_24, FALSE)/(HLOOKUP("Total",FUT_12_Emp_Men,Age20_24, FALSE)-HLOOKUP("Not applicable",FUT_12_Emp_Men,Age20_24, FALSE)),":")</f>
        <v>:</v>
      </c>
      <c r="K97" s="54" t="str">
        <f>IFERROR(HLOOKUP($B97,FUT_12_Emp_Women,Age20_24, FALSE)/(HLOOKUP("Total",FUT_12_Emp_Women,Age20_24, FALSE)-HLOOKUP("Not applicable",FUT_12_Emp_Women,Age20_24, FALSE)),":")</f>
        <v>:</v>
      </c>
      <c r="L97" s="52" t="str">
        <f>IFERROR(HLOOKUP($B97,FUT_12_Emp_Tot,Age25_29, FALSE)/(HLOOKUP("Total",FUT_12_Emp_Tot,Age25_29, FALSE)-HLOOKUP("Not applicable",FUT_12_Emp_Tot,Age25_29, FALSE)),":")</f>
        <v>:</v>
      </c>
      <c r="M97" s="53" t="str">
        <f>IFERROR(HLOOKUP($B97,FUT_12_Emp_Men,Age25_29, FALSE)/(HLOOKUP("Total",FUT_12_Emp_Men,Age25_29, FALSE)-HLOOKUP("Not applicable",FUT_12_Emp_Men,Age25_29, FALSE)),":")</f>
        <v>:</v>
      </c>
      <c r="N97" s="54" t="str">
        <f>IFERROR(HLOOKUP($B97,FUT_12_Emp_Women,Age25_29, FALSE)/(HLOOKUP("Total",FUT_12_Emp_Women,Age25_29, FALSE)-HLOOKUP("Not applicable",FUT_12_Emp_Women,Age25_29, FALSE)),":")</f>
        <v>:</v>
      </c>
    </row>
    <row r="98" spans="1:14" outlineLevel="1" x14ac:dyDescent="0.2">
      <c r="A98" s="50"/>
      <c r="B98" s="60" t="s">
        <v>18</v>
      </c>
      <c r="C98" s="52" t="str">
        <f>IFERROR(HLOOKUP($B98,FUT_12_Emp_Tot,Age15_29, FALSE)/(HLOOKUP("Total",FUT_12_Emp_Tot,Age15_29, FALSE)-HLOOKUP("Not applicable",FUT_12_Emp_Tot,Age15_29, FALSE)),":")</f>
        <v>:</v>
      </c>
      <c r="D98" s="53" t="str">
        <f>IFERROR(HLOOKUP($B98,FUT_12_Emp_Men,Age15_29, FALSE)/(HLOOKUP("Total",FUT_12_Emp_Men,Age15_29, FALSE)-HLOOKUP("Not applicable",FUT_12_Emp_Men,Age15_29, FALSE)),":")</f>
        <v>:</v>
      </c>
      <c r="E98" s="54" t="str">
        <f>IFERROR(HLOOKUP($B98,FUT_12_Emp_Women,Age15_29, FALSE)/(HLOOKUP("Total",FUT_12_Emp_Women,Age15_29, FALSE)-HLOOKUP("Not applicable",FUT_12_Emp_Women,Age15_29, FALSE)),":")</f>
        <v>:</v>
      </c>
      <c r="F98" s="52" t="str">
        <f>IFERROR(HLOOKUP($B98,FUT_12_Emp_Tot,Age15_19, FALSE)/(HLOOKUP("Total",FUT_12_Emp_Tot,Age15_19, FALSE)-HLOOKUP("Not applicable",FUT_12_Emp_Tot,Age15_19, FALSE)),":")</f>
        <v>:</v>
      </c>
      <c r="G98" s="53" t="str">
        <f>IFERROR(HLOOKUP($B98,FUT_12_Emp_Men,Age15_19, FALSE)/(HLOOKUP("Total",FUT_12_Emp_Men,Age15_19, FALSE)-HLOOKUP("Not applicable",FUT_12_Emp_Men,Age15_19, FALSE)),":")</f>
        <v>:</v>
      </c>
      <c r="H98" s="54" t="str">
        <f>IFERROR(HLOOKUP($B98,FUT_12_Emp_Women,Age15_19, FALSE)/(HLOOKUP("Total",FUT_12_Emp_Women,Age15_19, FALSE)-HLOOKUP("Not applicable",FUT_12_Emp_Women,Age15_19, FALSE)),":")</f>
        <v>:</v>
      </c>
      <c r="I98" s="52" t="str">
        <f>IFERROR(HLOOKUP($B98,FUT_12_Emp_Tot,Age20_24, FALSE)/(HLOOKUP("Total",FUT_12_Emp_Tot,Age20_24, FALSE)-HLOOKUP("Not applicable",FUT_12_Emp_Tot,Age20_24, FALSE)),":")</f>
        <v>:</v>
      </c>
      <c r="J98" s="53" t="str">
        <f>IFERROR(HLOOKUP($B98,FUT_12_Emp_Men,Age20_24, FALSE)/(HLOOKUP("Total",FUT_12_Emp_Men,Age20_24, FALSE)-HLOOKUP("Not applicable",FUT_12_Emp_Men,Age20_24, FALSE)),":")</f>
        <v>:</v>
      </c>
      <c r="K98" s="54" t="str">
        <f>IFERROR(HLOOKUP($B98,FUT_12_Emp_Women,Age20_24, FALSE)/(HLOOKUP("Total",FUT_12_Emp_Women,Age20_24, FALSE)-HLOOKUP("Not applicable",FUT_12_Emp_Women,Age20_24, FALSE)),":")</f>
        <v>:</v>
      </c>
      <c r="L98" s="52" t="str">
        <f>IFERROR(HLOOKUP($B98,FUT_12_Emp_Tot,Age25_29, FALSE)/(HLOOKUP("Total",FUT_12_Emp_Tot,Age25_29, FALSE)-HLOOKUP("Not applicable",FUT_12_Emp_Tot,Age25_29, FALSE)),":")</f>
        <v>:</v>
      </c>
      <c r="M98" s="53" t="str">
        <f>IFERROR(HLOOKUP($B98,FUT_12_Emp_Men,Age25_29, FALSE)/(HLOOKUP("Total",FUT_12_Emp_Men,Age25_29, FALSE)-HLOOKUP("Not applicable",FUT_12_Emp_Men,Age25_29, FALSE)),":")</f>
        <v>:</v>
      </c>
      <c r="N98" s="54" t="str">
        <f>IFERROR(HLOOKUP($B98,FUT_12_Emp_Women,Age25_29, FALSE)/(HLOOKUP("Total",FUT_12_Emp_Women,Age25_29, FALSE)-HLOOKUP("Not applicable",FUT_12_Emp_Women,Age25_29, FALSE)),":")</f>
        <v>:</v>
      </c>
    </row>
    <row r="99" spans="1:14" x14ac:dyDescent="0.2">
      <c r="A99" s="98" t="s">
        <v>186</v>
      </c>
      <c r="B99" s="103"/>
      <c r="C99" s="100" t="str">
        <f t="shared" ref="C99:E99" si="33">IF(COUNT(C100:C101)&gt;0,SUM(C100:C101),":")</f>
        <v>:</v>
      </c>
      <c r="D99" s="101" t="str">
        <f t="shared" si="33"/>
        <v>:</v>
      </c>
      <c r="E99" s="102" t="str">
        <f t="shared" si="33"/>
        <v>:</v>
      </c>
      <c r="F99" s="100" t="str">
        <f t="shared" ref="F99:K99" si="34">IF(COUNT(F100:F101)&gt;0,SUM(F100:F101),":")</f>
        <v>:</v>
      </c>
      <c r="G99" s="101" t="str">
        <f t="shared" si="34"/>
        <v>:</v>
      </c>
      <c r="H99" s="102" t="str">
        <f t="shared" si="34"/>
        <v>:</v>
      </c>
      <c r="I99" s="100" t="str">
        <f t="shared" si="34"/>
        <v>:</v>
      </c>
      <c r="J99" s="101" t="str">
        <f t="shared" si="34"/>
        <v>:</v>
      </c>
      <c r="K99" s="102" t="str">
        <f t="shared" si="34"/>
        <v>:</v>
      </c>
      <c r="L99" s="100" t="str">
        <f t="shared" ref="L99:N99" si="35">IF(COUNT(L100:L101)&gt;0,SUM(L100:L101),":")</f>
        <v>:</v>
      </c>
      <c r="M99" s="101" t="str">
        <f t="shared" si="35"/>
        <v>:</v>
      </c>
      <c r="N99" s="102" t="str">
        <f t="shared" si="35"/>
        <v>:</v>
      </c>
    </row>
    <row r="100" spans="1:14" outlineLevel="1" x14ac:dyDescent="0.2">
      <c r="A100" s="50"/>
      <c r="B100" s="60" t="s">
        <v>20</v>
      </c>
      <c r="C100" s="52" t="str">
        <f>IFERROR(HLOOKUP($B100,FUT_12_Emp_Tot,Age15_29, FALSE)/(HLOOKUP("Total",FUT_12_Emp_Tot,Age15_29, FALSE)-HLOOKUP("Not applicable",FUT_12_Emp_Tot,Age15_29, FALSE)),":")</f>
        <v>:</v>
      </c>
      <c r="D100" s="53" t="str">
        <f>IFERROR(HLOOKUP($B100,FUT_12_Emp_Men,Age15_29, FALSE)/(HLOOKUP("Total",FUT_12_Emp_Men,Age15_29, FALSE)-HLOOKUP("Not applicable",FUT_12_Emp_Men,Age15_29, FALSE)),":")</f>
        <v>:</v>
      </c>
      <c r="E100" s="54" t="str">
        <f>IFERROR(HLOOKUP($B100,FUT_12_Emp_Women,Age15_29, FALSE)/(HLOOKUP("Total",FUT_12_Emp_Women,Age15_29, FALSE)-HLOOKUP("Not applicable",FUT_12_Emp_Women,Age15_29, FALSE)),":")</f>
        <v>:</v>
      </c>
      <c r="F100" s="52" t="str">
        <f>IFERROR(HLOOKUP($B100,FUT_12_Emp_Tot,Age15_19, FALSE)/(HLOOKUP("Total",FUT_12_Emp_Tot,Age15_19, FALSE)-HLOOKUP("Not applicable",FUT_12_Emp_Tot,Age15_19, FALSE)),":")</f>
        <v>:</v>
      </c>
      <c r="G100" s="53" t="str">
        <f>IFERROR(HLOOKUP($B100,FUT_12_Emp_Men,Age15_19, FALSE)/(HLOOKUP("Total",FUT_12_Emp_Men,Age15_19, FALSE)-HLOOKUP("Not applicable",FUT_12_Emp_Men,Age15_19, FALSE)),":")</f>
        <v>:</v>
      </c>
      <c r="H100" s="54" t="str">
        <f>IFERROR(HLOOKUP($B100,FUT_12_Emp_Women,Age15_19, FALSE)/(HLOOKUP("Total",FUT_12_Emp_Women,Age15_19, FALSE)-HLOOKUP("Not applicable",FUT_12_Emp_Women,Age15_19, FALSE)),":")</f>
        <v>:</v>
      </c>
      <c r="I100" s="52" t="str">
        <f>IFERROR(HLOOKUP($B100,FUT_12_Emp_Tot,Age20_24, FALSE)/(HLOOKUP("Total",FUT_12_Emp_Tot,Age20_24, FALSE)-HLOOKUP("Not applicable",FUT_12_Emp_Tot,Age20_24, FALSE)),":")</f>
        <v>:</v>
      </c>
      <c r="J100" s="53" t="str">
        <f>IFERROR(HLOOKUP($B100,FUT_12_Emp_Men,Age20_24, FALSE)/(HLOOKUP("Total",FUT_12_Emp_Men,Age20_24, FALSE)-HLOOKUP("Not applicable",FUT_12_Emp_Men,Age20_24, FALSE)),":")</f>
        <v>:</v>
      </c>
      <c r="K100" s="54" t="str">
        <f>IFERROR(HLOOKUP($B100,FUT_12_Emp_Women,Age20_24, FALSE)/(HLOOKUP("Total",FUT_12_Emp_Women,Age20_24, FALSE)-HLOOKUP("Not applicable",FUT_12_Emp_Women,Age20_24, FALSE)),":")</f>
        <v>:</v>
      </c>
      <c r="L100" s="52" t="str">
        <f>IFERROR(HLOOKUP($B100,FUT_12_Emp_Tot,Age25_29, FALSE)/(HLOOKUP("Total",FUT_12_Emp_Tot,Age25_29, FALSE)-HLOOKUP("Not applicable",FUT_12_Emp_Tot,Age25_29, FALSE)),":")</f>
        <v>:</v>
      </c>
      <c r="M100" s="53" t="str">
        <f>IFERROR(HLOOKUP($B100,FUT_12_Emp_Men,Age25_29, FALSE)/(HLOOKUP("Total",FUT_12_Emp_Men,Age25_29, FALSE)-HLOOKUP("Not applicable",FUT_12_Emp_Men,Age25_29, FALSE)),":")</f>
        <v>:</v>
      </c>
      <c r="N100" s="54" t="str">
        <f>IFERROR(HLOOKUP($B100,FUT_12_Emp_Women,Age25_29, FALSE)/(HLOOKUP("Total",FUT_12_Emp_Women,Age25_29, FALSE)-HLOOKUP("Not applicable",FUT_12_Emp_Women,Age25_29, FALSE)),":")</f>
        <v>:</v>
      </c>
    </row>
    <row r="101" spans="1:14" outlineLevel="1" x14ac:dyDescent="0.2">
      <c r="A101" s="50"/>
      <c r="B101" s="60" t="s">
        <v>91</v>
      </c>
      <c r="C101" s="52" t="str">
        <f>IFERROR(HLOOKUP($B101,FUT_12_Emp_Tot,Age15_29, FALSE)/(HLOOKUP("Total",FUT_12_Emp_Tot,Age15_29, FALSE)-HLOOKUP("Not applicable",FUT_12_Emp_Tot,Age15_29, FALSE)),":")</f>
        <v>:</v>
      </c>
      <c r="D101" s="53" t="str">
        <f>IFERROR(HLOOKUP($B101,FUT_12_Emp_Men,Age15_29, FALSE)/(HLOOKUP("Total",FUT_12_Emp_Men,Age15_29, FALSE)-HLOOKUP("Not applicable",FUT_12_Emp_Men,Age15_29, FALSE)),":")</f>
        <v>:</v>
      </c>
      <c r="E101" s="54" t="str">
        <f>IFERROR(HLOOKUP($B101,FUT_12_Emp_Women,Age15_29, FALSE)/(HLOOKUP("Total",FUT_12_Emp_Women,Age15_29, FALSE)-HLOOKUP("Not applicable",FUT_12_Emp_Women,Age15_29, FALSE)),":")</f>
        <v>:</v>
      </c>
      <c r="F101" s="52" t="str">
        <f>IFERROR(HLOOKUP($B101,FUT_12_Emp_Tot,Age15_19, FALSE)/(HLOOKUP("Total",FUT_12_Emp_Tot,Age15_19, FALSE)-HLOOKUP("Not applicable",FUT_12_Emp_Tot,Age15_19, FALSE)),":")</f>
        <v>:</v>
      </c>
      <c r="G101" s="53" t="str">
        <f>IFERROR(HLOOKUP($B101,FUT_12_Emp_Men,Age15_19, FALSE)/(HLOOKUP("Total",FUT_12_Emp_Men,Age15_19, FALSE)-HLOOKUP("Not applicable",FUT_12_Emp_Men,Age15_19, FALSE)),":")</f>
        <v>:</v>
      </c>
      <c r="H101" s="54" t="str">
        <f>IFERROR(HLOOKUP($B101,FUT_12_Emp_Women,Age15_19, FALSE)/(HLOOKUP("Total",FUT_12_Emp_Women,Age15_19, FALSE)-HLOOKUP("Not applicable",FUT_12_Emp_Women,Age15_19, FALSE)),":")</f>
        <v>:</v>
      </c>
      <c r="I101" s="52" t="str">
        <f>IFERROR(HLOOKUP($B101,FUT_12_Emp_Tot,Age20_24, FALSE)/(HLOOKUP("Total",FUT_12_Emp_Tot,Age20_24, FALSE)-HLOOKUP("Not applicable",FUT_12_Emp_Tot,Age20_24, FALSE)),":")</f>
        <v>:</v>
      </c>
      <c r="J101" s="53" t="str">
        <f>IFERROR(HLOOKUP($B101,FUT_12_Emp_Men,Age20_24, FALSE)/(HLOOKUP("Total",FUT_12_Emp_Men,Age20_24, FALSE)-HLOOKUP("Not applicable",FUT_12_Emp_Men,Age20_24, FALSE)),":")</f>
        <v>:</v>
      </c>
      <c r="K101" s="54" t="str">
        <f>IFERROR(HLOOKUP($B101,FUT_12_Emp_Women,Age20_24, FALSE)/(HLOOKUP("Total",FUT_12_Emp_Women,Age20_24, FALSE)-HLOOKUP("Not applicable",FUT_12_Emp_Women,Age20_24, FALSE)),":")</f>
        <v>:</v>
      </c>
      <c r="L101" s="52" t="str">
        <f>IFERROR(HLOOKUP($B101,FUT_12_Emp_Tot,Age25_29, FALSE)/(HLOOKUP("Total",FUT_12_Emp_Tot,Age25_29, FALSE)-HLOOKUP("Not applicable",FUT_12_Emp_Tot,Age25_29, FALSE)),":")</f>
        <v>:</v>
      </c>
      <c r="M101" s="53" t="str">
        <f>IFERROR(HLOOKUP($B101,FUT_12_Emp_Men,Age25_29, FALSE)/(HLOOKUP("Total",FUT_12_Emp_Men,Age25_29, FALSE)-HLOOKUP("Not applicable",FUT_12_Emp_Men,Age25_29, FALSE)),":")</f>
        <v>:</v>
      </c>
      <c r="N101" s="54" t="str">
        <f>IFERROR(HLOOKUP($B101,FUT_12_Emp_Women,Age25_29, FALSE)/(HLOOKUP("Total",FUT_12_Emp_Women,Age25_29, FALSE)-HLOOKUP("Not applicable",FUT_12_Emp_Women,Age25_29, FALSE)),":")</f>
        <v>:</v>
      </c>
    </row>
    <row r="102" spans="1:14" ht="16" thickBot="1" x14ac:dyDescent="0.25">
      <c r="A102" s="104" t="s">
        <v>21</v>
      </c>
      <c r="B102" s="105"/>
      <c r="C102" s="106" t="str">
        <f>IFERROR(HLOOKUP($A102,FUT_12_Emp_Tot,Age15_29, FALSE)/(HLOOKUP("Total",FUT_12_Emp_Tot,Age15_29, FALSE)-HLOOKUP("Not applicable",FUT_12_Emp_Tot,Age15_29, FALSE)),":")</f>
        <v>:</v>
      </c>
      <c r="D102" s="107" t="str">
        <f>IFERROR(HLOOKUP($A102,FUT_12_Emp_Men,Age15_29, FALSE)/(HLOOKUP("Total",FUT_12_Emp_Men,Age15_29, FALSE)-HLOOKUP("Not applicable",FUT_12_Emp_Men,Age15_29, FALSE)),":")</f>
        <v>:</v>
      </c>
      <c r="E102" s="108" t="str">
        <f>IFERROR(HLOOKUP($A102,FUT_12_Emp_Women,Age15_29, FALSE)/(HLOOKUP("Total",FUT_12_Emp_Women,Age15_29, FALSE)-HLOOKUP("Not applicable",FUT_12_Emp_Women,Age15_29, FALSE)),":")</f>
        <v>:</v>
      </c>
      <c r="F102" s="106" t="str">
        <f>IFERROR(HLOOKUP($A102,FUT_12_Emp_Tot,Age15_19, FALSE)/(HLOOKUP("Total",FUT_12_Emp_Tot,Age15_19, FALSE)-HLOOKUP("Not applicable",FUT_12_Emp_Tot,Age15_19, FALSE)),":")</f>
        <v>:</v>
      </c>
      <c r="G102" s="107" t="str">
        <f>IFERROR(HLOOKUP($A102,FUT_12_Emp_Men,Age15_19, FALSE)/(HLOOKUP("Total",FUT_12_Emp_Men,Age15_19, FALSE)-HLOOKUP("Not applicable",FUT_12_Emp_Men,Age15_19, FALSE)),":")</f>
        <v>:</v>
      </c>
      <c r="H102" s="108" t="str">
        <f>IFERROR(HLOOKUP($A102,FUT_12_Emp_Women,Age15_19, FALSE)/(HLOOKUP("Total",FUT_12_Emp_Women,Age15_19, FALSE)-HLOOKUP("Not applicable",FUT_12_Emp_Women,Age15_19, FALSE)),":")</f>
        <v>:</v>
      </c>
      <c r="I102" s="106" t="str">
        <f>IFERROR(HLOOKUP($A102,FUT_12_Emp_Tot,Age20_24, FALSE)/(HLOOKUP("Total",FUT_12_Emp_Tot,Age20_24, FALSE)-HLOOKUP("Not applicable",FUT_12_Emp_Tot,Age20_24, FALSE)),":")</f>
        <v>:</v>
      </c>
      <c r="J102" s="107" t="str">
        <f>IFERROR(HLOOKUP($A102,FUT_12_Emp_Men,Age20_24, FALSE)/(HLOOKUP("Total",FUT_12_Emp_Men,Age20_24, FALSE)-HLOOKUP("Not applicable",FUT_12_Emp_Men,Age20_24, FALSE)),":")</f>
        <v>:</v>
      </c>
      <c r="K102" s="108" t="str">
        <f>IFERROR(HLOOKUP($A102,FUT_12_Emp_Women,Age20_24, FALSE)/(HLOOKUP("Total",FUT_12_Emp_Women,Age20_24, FALSE)-HLOOKUP("Not applicable",FUT_12_Emp_Women,Age20_24, FALSE)),":")</f>
        <v>:</v>
      </c>
      <c r="L102" s="106" t="str">
        <f>IFERROR(HLOOKUP($A102,FUT_12_Emp_Tot,Age25_29, FALSE)/(HLOOKUP("Total",FUT_12_Emp_Tot,Age25_29, FALSE)-HLOOKUP("Not applicable",FUT_12_Emp_Tot,Age25_29, FALSE)),":")</f>
        <v>:</v>
      </c>
      <c r="M102" s="107" t="str">
        <f>IFERROR(HLOOKUP($A102,FUT_12_Emp_Men,Age25_29, FALSE)/(HLOOKUP("Total",FUT_12_Emp_Men,Age25_29, FALSE)-HLOOKUP("Not applicable",FUT_12_Emp_Men,Age25_29, FALSE)),":")</f>
        <v>:</v>
      </c>
      <c r="N102" s="108" t="str">
        <f>IFERROR(HLOOKUP($A102,FUT_12_Emp_Women,Age25_29, FALSE)/(HLOOKUP("Total",FUT_12_Emp_Women,Age25_29, FALSE)-HLOOKUP("Not applicable",FUT_12_Emp_Women,Age25_29, FALSE)),":")</f>
        <v>:</v>
      </c>
    </row>
    <row r="103" spans="1:14" ht="17" thickTop="1" thickBot="1" x14ac:dyDescent="0.25"/>
    <row r="104" spans="1:14" ht="15.75" customHeight="1" thickTop="1" x14ac:dyDescent="0.2">
      <c r="A104" s="352" t="s">
        <v>190</v>
      </c>
      <c r="B104" s="353"/>
      <c r="C104" s="347" t="s">
        <v>228</v>
      </c>
      <c r="D104" s="348"/>
      <c r="E104" s="349"/>
      <c r="F104" s="347" t="s">
        <v>11</v>
      </c>
      <c r="G104" s="348"/>
      <c r="H104" s="349"/>
      <c r="I104" s="356" t="s">
        <v>13</v>
      </c>
      <c r="J104" s="348"/>
      <c r="K104" s="349"/>
      <c r="L104" s="347" t="s">
        <v>227</v>
      </c>
      <c r="M104" s="348"/>
      <c r="N104" s="350"/>
    </row>
    <row r="105" spans="1:14" x14ac:dyDescent="0.2">
      <c r="A105" s="354"/>
      <c r="B105" s="355"/>
      <c r="C105" s="49" t="s">
        <v>3</v>
      </c>
      <c r="D105" s="47" t="s">
        <v>4</v>
      </c>
      <c r="E105" s="48" t="s">
        <v>5</v>
      </c>
      <c r="F105" s="49" t="s">
        <v>3</v>
      </c>
      <c r="G105" s="47" t="s">
        <v>4</v>
      </c>
      <c r="H105" s="48" t="s">
        <v>5</v>
      </c>
      <c r="I105" s="46" t="s">
        <v>3</v>
      </c>
      <c r="J105" s="47" t="s">
        <v>4</v>
      </c>
      <c r="K105" s="48" t="s">
        <v>5</v>
      </c>
      <c r="L105" s="49" t="s">
        <v>3</v>
      </c>
      <c r="M105" s="47" t="s">
        <v>4</v>
      </c>
      <c r="N105" s="164" t="s">
        <v>5</v>
      </c>
    </row>
    <row r="106" spans="1:14" x14ac:dyDescent="0.2">
      <c r="A106" s="98" t="s">
        <v>185</v>
      </c>
      <c r="B106" s="99"/>
      <c r="C106" s="100" t="str">
        <f t="shared" ref="C106:E106" si="36">IF(COUNT(C107:C110)&gt;0,SUM(C107:C110),":")</f>
        <v>:</v>
      </c>
      <c r="D106" s="101" t="str">
        <f t="shared" si="36"/>
        <v>:</v>
      </c>
      <c r="E106" s="102" t="str">
        <f t="shared" si="36"/>
        <v>:</v>
      </c>
      <c r="F106" s="100" t="str">
        <f t="shared" ref="F106:K106" si="37">IF(COUNT(F107:F110)&gt;0,SUM(F107:F110),":")</f>
        <v>:</v>
      </c>
      <c r="G106" s="101" t="str">
        <f t="shared" si="37"/>
        <v>:</v>
      </c>
      <c r="H106" s="102" t="str">
        <f t="shared" si="37"/>
        <v>:</v>
      </c>
      <c r="I106" s="100" t="str">
        <f t="shared" si="37"/>
        <v>:</v>
      </c>
      <c r="J106" s="101" t="str">
        <f t="shared" si="37"/>
        <v>:</v>
      </c>
      <c r="K106" s="102" t="str">
        <f t="shared" si="37"/>
        <v>:</v>
      </c>
      <c r="L106" s="100" t="str">
        <f t="shared" ref="L106:N106" si="38">IF(COUNT(L107:L110)&gt;0,SUM(L107:L110),":")</f>
        <v>:</v>
      </c>
      <c r="M106" s="101" t="str">
        <f t="shared" si="38"/>
        <v>:</v>
      </c>
      <c r="N106" s="102" t="str">
        <f t="shared" si="38"/>
        <v>:</v>
      </c>
    </row>
    <row r="107" spans="1:14" outlineLevel="1" x14ac:dyDescent="0.2">
      <c r="A107" s="50"/>
      <c r="B107" s="60" t="s">
        <v>15</v>
      </c>
      <c r="C107" s="52" t="str">
        <f>IFERROR(HLOOKUP($B107,FUT_18_Emp_Tot,Age15_29, FALSE)/(HLOOKUP("Total",FUT_18_Emp_Tot,Age15_29, FALSE)-HLOOKUP("Not applicable",FUT_18_Emp_Tot,Age15_29, FALSE)),":")</f>
        <v>:</v>
      </c>
      <c r="D107" s="53" t="str">
        <f>IFERROR(HLOOKUP($B107,FUT_18_Emp_Men,Age15_29, FALSE)/(HLOOKUP("Total",FUT_18_Emp_Men,Age15_29, FALSE)-HLOOKUP("Not applicable",FUT_18_Emp_Men,Age15_29, FALSE)),":")</f>
        <v>:</v>
      </c>
      <c r="E107" s="54" t="str">
        <f>IFERROR(HLOOKUP($B107,FUT_18_Emp_Women,Age15_29, FALSE)/(HLOOKUP("Total",FUT_18_Emp_Women,Age15_29, FALSE)-HLOOKUP("Not applicable",FUT_18_Emp_Women,Age15_29, FALSE)),":")</f>
        <v>:</v>
      </c>
      <c r="F107" s="52" t="str">
        <f>IFERROR(HLOOKUP($B107,FUT_18_Emp_Tot,Age15_19, FALSE)/(HLOOKUP("Total",FUT_18_Emp_Tot,Age15_19, FALSE)-HLOOKUP("Not applicable",FUT_18_Emp_Tot,Age15_19, FALSE)),":")</f>
        <v>:</v>
      </c>
      <c r="G107" s="53" t="str">
        <f>IFERROR(HLOOKUP($B107,FUT_18_Emp_Men,Age15_19, FALSE)/(HLOOKUP("Total",FUT_18_Emp_Men,Age15_19, FALSE)-HLOOKUP("Not applicable",FUT_18_Emp_Men,Age15_19, FALSE)),":")</f>
        <v>:</v>
      </c>
      <c r="H107" s="54" t="str">
        <f>IFERROR(HLOOKUP($B107,FUT_18_Emp_Women,Age15_19, FALSE)/(HLOOKUP("Total",FUT_18_Emp_Women,Age15_19, FALSE)-HLOOKUP("Not applicable",FUT_18_Emp_Women,Age15_19, FALSE)),":")</f>
        <v>:</v>
      </c>
      <c r="I107" s="52" t="str">
        <f>IFERROR(HLOOKUP($B107,FUT_18_Emp_Tot,Age20_24, FALSE)/(HLOOKUP("Total",FUT_18_Emp_Tot,Age20_24, FALSE)-HLOOKUP("Not applicable",FUT_18_Emp_Tot,Age20_24, FALSE)),":")</f>
        <v>:</v>
      </c>
      <c r="J107" s="53" t="str">
        <f>IFERROR(HLOOKUP($B107,FUT_18_Emp_Men,Age20_24, FALSE)/(HLOOKUP("Total",FUT_18_Emp_Men,Age20_24, FALSE)-HLOOKUP("Not applicable",FUT_18_Emp_Men,Age20_24, FALSE)),":")</f>
        <v>:</v>
      </c>
      <c r="K107" s="54" t="str">
        <f>IFERROR(HLOOKUP($B107,FUT_18_Emp_Women,Age20_24, FALSE)/(HLOOKUP("Total",FUT_18_Emp_Women,Age20_24, FALSE)-HLOOKUP("Not applicable",FUT_18_Emp_Women,Age20_24, FALSE)),":")</f>
        <v>:</v>
      </c>
      <c r="L107" s="52" t="str">
        <f>IFERROR(HLOOKUP($B107,FUT_18_Emp_Tot,Age25_29, FALSE)/(HLOOKUP("Total",FUT_18_Emp_Tot,Age25_29, FALSE)-HLOOKUP("Not applicable",FUT_18_Emp_Tot,Age25_29, FALSE)),":")</f>
        <v>:</v>
      </c>
      <c r="M107" s="53" t="str">
        <f>IFERROR(HLOOKUP($B107,FUT_18_Emp_Men,Age25_29, FALSE)/(HLOOKUP("Total",FUT_18_Emp_Men,Age25_29, FALSE)-HLOOKUP("Not applicable",FUT_18_Emp_Men,Age25_29, FALSE)),":")</f>
        <v>:</v>
      </c>
      <c r="N107" s="54" t="str">
        <f>IFERROR(HLOOKUP($B107,FUT_18_Emp_Women,Age25_29, FALSE)/(HLOOKUP("Total",FUT_18_Emp_Women,Age25_29, FALSE)-HLOOKUP("Not applicable",FUT_18_Emp_Women,Age25_29, FALSE)),":")</f>
        <v>:</v>
      </c>
    </row>
    <row r="108" spans="1:14" outlineLevel="1" x14ac:dyDescent="0.2">
      <c r="A108" s="50"/>
      <c r="B108" s="60" t="s">
        <v>16</v>
      </c>
      <c r="C108" s="52" t="str">
        <f>IFERROR(HLOOKUP($B108,FUT_18_Emp_Tot,Age15_29, FALSE)/(HLOOKUP("Total",FUT_18_Emp_Tot,Age15_29, FALSE)-HLOOKUP("Not applicable",FUT_18_Emp_Tot,Age15_29, FALSE)),":")</f>
        <v>:</v>
      </c>
      <c r="D108" s="53" t="str">
        <f>IFERROR(HLOOKUP($B108,FUT_18_Emp_Men,Age15_29, FALSE)/(HLOOKUP("Total",FUT_18_Emp_Men,Age15_29, FALSE)-HLOOKUP("Not applicable",FUT_18_Emp_Men,Age15_29, FALSE)),":")</f>
        <v>:</v>
      </c>
      <c r="E108" s="54" t="str">
        <f>IFERROR(HLOOKUP($B108,FUT_18_Emp_Women,Age15_29, FALSE)/(HLOOKUP("Total",FUT_18_Emp_Women,Age15_29, FALSE)-HLOOKUP("Not applicable",FUT_18_Emp_Women,Age15_29, FALSE)),":")</f>
        <v>:</v>
      </c>
      <c r="F108" s="52" t="str">
        <f>IFERROR(HLOOKUP($B108,FUT_18_Emp_Tot,Age15_19, FALSE)/(HLOOKUP("Total",FUT_18_Emp_Tot,Age15_19, FALSE)-HLOOKUP("Not applicable",FUT_18_Emp_Tot,Age15_19, FALSE)),":")</f>
        <v>:</v>
      </c>
      <c r="G108" s="53" t="str">
        <f>IFERROR(HLOOKUP($B108,FUT_18_Emp_Men,Age15_19, FALSE)/(HLOOKUP("Total",FUT_18_Emp_Men,Age15_19, FALSE)-HLOOKUP("Not applicable",FUT_18_Emp_Men,Age15_19, FALSE)),":")</f>
        <v>:</v>
      </c>
      <c r="H108" s="54" t="str">
        <f>IFERROR(HLOOKUP($B108,FUT_18_Emp_Women,Age15_19, FALSE)/(HLOOKUP("Total",FUT_18_Emp_Women,Age15_19, FALSE)-HLOOKUP("Not applicable",FUT_18_Emp_Women,Age15_19, FALSE)),":")</f>
        <v>:</v>
      </c>
      <c r="I108" s="52" t="str">
        <f>IFERROR(HLOOKUP($B108,FUT_18_Emp_Tot,Age20_24, FALSE)/(HLOOKUP("Total",FUT_18_Emp_Tot,Age20_24, FALSE)-HLOOKUP("Not applicable",FUT_18_Emp_Tot,Age20_24, FALSE)),":")</f>
        <v>:</v>
      </c>
      <c r="J108" s="53" t="str">
        <f>IFERROR(HLOOKUP($B108,FUT_18_Emp_Men,Age20_24, FALSE)/(HLOOKUP("Total",FUT_18_Emp_Men,Age20_24, FALSE)-HLOOKUP("Not applicable",FUT_18_Emp_Men,Age20_24, FALSE)),":")</f>
        <v>:</v>
      </c>
      <c r="K108" s="54" t="str">
        <f>IFERROR(HLOOKUP($B108,FUT_18_Emp_Women,Age20_24, FALSE)/(HLOOKUP("Total",FUT_18_Emp_Women,Age20_24, FALSE)-HLOOKUP("Not applicable",FUT_18_Emp_Women,Age20_24, FALSE)),":")</f>
        <v>:</v>
      </c>
      <c r="L108" s="52" t="str">
        <f>IFERROR(HLOOKUP($B108,FUT_18_Emp_Tot,Age25_29, FALSE)/(HLOOKUP("Total",FUT_18_Emp_Tot,Age25_29, FALSE)-HLOOKUP("Not applicable",FUT_18_Emp_Tot,Age25_29, FALSE)),":")</f>
        <v>:</v>
      </c>
      <c r="M108" s="53" t="str">
        <f>IFERROR(HLOOKUP($B108,FUT_18_Emp_Men,Age25_29, FALSE)/(HLOOKUP("Total",FUT_18_Emp_Men,Age25_29, FALSE)-HLOOKUP("Not applicable",FUT_18_Emp_Men,Age25_29, FALSE)),":")</f>
        <v>:</v>
      </c>
      <c r="N108" s="54" t="str">
        <f>IFERROR(HLOOKUP($B108,FUT_18_Emp_Women,Age25_29, FALSE)/(HLOOKUP("Total",FUT_18_Emp_Women,Age25_29, FALSE)-HLOOKUP("Not applicable",FUT_18_Emp_Women,Age25_29, FALSE)),":")</f>
        <v>:</v>
      </c>
    </row>
    <row r="109" spans="1:14" outlineLevel="1" x14ac:dyDescent="0.2">
      <c r="A109" s="50"/>
      <c r="B109" s="60" t="s">
        <v>17</v>
      </c>
      <c r="C109" s="52" t="str">
        <f>IFERROR(HLOOKUP($B109,FUT_18_Emp_Tot,Age15_29, FALSE)/(HLOOKUP("Total",FUT_18_Emp_Tot,Age15_29, FALSE)-HLOOKUP("Not applicable",FUT_18_Emp_Tot,Age15_29, FALSE)),":")</f>
        <v>:</v>
      </c>
      <c r="D109" s="53" t="str">
        <f>IFERROR(HLOOKUP($B109,FUT_18_Emp_Men,Age15_29, FALSE)/(HLOOKUP("Total",FUT_18_Emp_Men,Age15_29, FALSE)-HLOOKUP("Not applicable",FUT_18_Emp_Men,Age15_29, FALSE)),":")</f>
        <v>:</v>
      </c>
      <c r="E109" s="54" t="str">
        <f>IFERROR(HLOOKUP($B109,FUT_18_Emp_Women,Age15_29, FALSE)/(HLOOKUP("Total",FUT_18_Emp_Women,Age15_29, FALSE)-HLOOKUP("Not applicable",FUT_18_Emp_Women,Age15_29, FALSE)),":")</f>
        <v>:</v>
      </c>
      <c r="F109" s="52" t="str">
        <f>IFERROR(HLOOKUP($B109,FUT_18_Emp_Tot,Age15_19, FALSE)/(HLOOKUP("Total",FUT_18_Emp_Tot,Age15_19, FALSE)-HLOOKUP("Not applicable",FUT_18_Emp_Tot,Age15_19, FALSE)),":")</f>
        <v>:</v>
      </c>
      <c r="G109" s="53" t="str">
        <f>IFERROR(HLOOKUP($B109,FUT_18_Emp_Men,Age15_19, FALSE)/(HLOOKUP("Total",FUT_18_Emp_Men,Age15_19, FALSE)-HLOOKUP("Not applicable",FUT_18_Emp_Men,Age15_19, FALSE)),":")</f>
        <v>:</v>
      </c>
      <c r="H109" s="54" t="str">
        <f>IFERROR(HLOOKUP($B109,FUT_18_Emp_Women,Age15_19, FALSE)/(HLOOKUP("Total",FUT_18_Emp_Women,Age15_19, FALSE)-HLOOKUP("Not applicable",FUT_18_Emp_Women,Age15_19, FALSE)),":")</f>
        <v>:</v>
      </c>
      <c r="I109" s="52" t="str">
        <f>IFERROR(HLOOKUP($B109,FUT_18_Emp_Tot,Age20_24, FALSE)/(HLOOKUP("Total",FUT_18_Emp_Tot,Age20_24, FALSE)-HLOOKUP("Not applicable",FUT_18_Emp_Tot,Age20_24, FALSE)),":")</f>
        <v>:</v>
      </c>
      <c r="J109" s="53" t="str">
        <f>IFERROR(HLOOKUP($B109,FUT_18_Emp_Men,Age20_24, FALSE)/(HLOOKUP("Total",FUT_18_Emp_Men,Age20_24, FALSE)-HLOOKUP("Not applicable",FUT_18_Emp_Men,Age20_24, FALSE)),":")</f>
        <v>:</v>
      </c>
      <c r="K109" s="54" t="str">
        <f>IFERROR(HLOOKUP($B109,FUT_18_Emp_Women,Age20_24, FALSE)/(HLOOKUP("Total",FUT_18_Emp_Women,Age20_24, FALSE)-HLOOKUP("Not applicable",FUT_18_Emp_Women,Age20_24, FALSE)),":")</f>
        <v>:</v>
      </c>
      <c r="L109" s="52" t="str">
        <f>IFERROR(HLOOKUP($B109,FUT_18_Emp_Tot,Age25_29, FALSE)/(HLOOKUP("Total",FUT_18_Emp_Tot,Age25_29, FALSE)-HLOOKUP("Not applicable",FUT_18_Emp_Tot,Age25_29, FALSE)),":")</f>
        <v>:</v>
      </c>
      <c r="M109" s="53" t="str">
        <f>IFERROR(HLOOKUP($B109,FUT_18_Emp_Men,Age25_29, FALSE)/(HLOOKUP("Total",FUT_18_Emp_Men,Age25_29, FALSE)-HLOOKUP("Not applicable",FUT_18_Emp_Men,Age25_29, FALSE)),":")</f>
        <v>:</v>
      </c>
      <c r="N109" s="54" t="str">
        <f>IFERROR(HLOOKUP($B109,FUT_18_Emp_Women,Age25_29, FALSE)/(HLOOKUP("Total",FUT_18_Emp_Women,Age25_29, FALSE)-HLOOKUP("Not applicable",FUT_18_Emp_Women,Age25_29, FALSE)),":")</f>
        <v>:</v>
      </c>
    </row>
    <row r="110" spans="1:14" outlineLevel="1" x14ac:dyDescent="0.2">
      <c r="A110" s="50"/>
      <c r="B110" s="60" t="s">
        <v>18</v>
      </c>
      <c r="C110" s="52" t="str">
        <f>IFERROR(HLOOKUP($B110,FUT_18_Emp_Tot,Age15_29, FALSE)/(HLOOKUP("Total",FUT_18_Emp_Tot,Age15_29, FALSE)-HLOOKUP("Not applicable",FUT_18_Emp_Tot,Age15_29, FALSE)),":")</f>
        <v>:</v>
      </c>
      <c r="D110" s="53" t="str">
        <f>IFERROR(HLOOKUP($B110,FUT_18_Emp_Men,Age15_29, FALSE)/(HLOOKUP("Total",FUT_18_Emp_Men,Age15_29, FALSE)-HLOOKUP("Not applicable",FUT_18_Emp_Men,Age15_29, FALSE)),":")</f>
        <v>:</v>
      </c>
      <c r="E110" s="54" t="str">
        <f>IFERROR(HLOOKUP($B110,FUT_18_Emp_Women,Age15_29, FALSE)/(HLOOKUP("Total",FUT_18_Emp_Women,Age15_29, FALSE)-HLOOKUP("Not applicable",FUT_18_Emp_Women,Age15_29, FALSE)),":")</f>
        <v>:</v>
      </c>
      <c r="F110" s="52" t="str">
        <f>IFERROR(HLOOKUP($B110,FUT_18_Emp_Tot,Age15_19, FALSE)/(HLOOKUP("Total",FUT_18_Emp_Tot,Age15_19, FALSE)-HLOOKUP("Not applicable",FUT_18_Emp_Tot,Age15_19, FALSE)),":")</f>
        <v>:</v>
      </c>
      <c r="G110" s="53" t="str">
        <f>IFERROR(HLOOKUP($B110,FUT_18_Emp_Men,Age15_19, FALSE)/(HLOOKUP("Total",FUT_18_Emp_Men,Age15_19, FALSE)-HLOOKUP("Not applicable",FUT_18_Emp_Men,Age15_19, FALSE)),":")</f>
        <v>:</v>
      </c>
      <c r="H110" s="54" t="str">
        <f>IFERROR(HLOOKUP($B110,FUT_18_Emp_Women,Age15_19, FALSE)/(HLOOKUP("Total",FUT_18_Emp_Women,Age15_19, FALSE)-HLOOKUP("Not applicable",FUT_18_Emp_Women,Age15_19, FALSE)),":")</f>
        <v>:</v>
      </c>
      <c r="I110" s="52" t="str">
        <f>IFERROR(HLOOKUP($B110,FUT_18_Emp_Tot,Age20_24, FALSE)/(HLOOKUP("Total",FUT_18_Emp_Tot,Age20_24, FALSE)-HLOOKUP("Not applicable",FUT_18_Emp_Tot,Age20_24, FALSE)),":")</f>
        <v>:</v>
      </c>
      <c r="J110" s="53" t="str">
        <f>IFERROR(HLOOKUP($B110,FUT_18_Emp_Men,Age20_24, FALSE)/(HLOOKUP("Total",FUT_18_Emp_Men,Age20_24, FALSE)-HLOOKUP("Not applicable",FUT_18_Emp_Men,Age20_24, FALSE)),":")</f>
        <v>:</v>
      </c>
      <c r="K110" s="54" t="str">
        <f>IFERROR(HLOOKUP($B110,FUT_18_Emp_Women,Age20_24, FALSE)/(HLOOKUP("Total",FUT_18_Emp_Women,Age20_24, FALSE)-HLOOKUP("Not applicable",FUT_18_Emp_Women,Age20_24, FALSE)),":")</f>
        <v>:</v>
      </c>
      <c r="L110" s="52" t="str">
        <f>IFERROR(HLOOKUP($B110,FUT_18_Emp_Tot,Age25_29, FALSE)/(HLOOKUP("Total",FUT_18_Emp_Tot,Age25_29, FALSE)-HLOOKUP("Not applicable",FUT_18_Emp_Tot,Age25_29, FALSE)),":")</f>
        <v>:</v>
      </c>
      <c r="M110" s="53" t="str">
        <f>IFERROR(HLOOKUP($B110,FUT_18_Emp_Men,Age25_29, FALSE)/(HLOOKUP("Total",FUT_18_Emp_Men,Age25_29, FALSE)-HLOOKUP("Not applicable",FUT_18_Emp_Men,Age25_29, FALSE)),":")</f>
        <v>:</v>
      </c>
      <c r="N110" s="54" t="str">
        <f>IFERROR(HLOOKUP($B110,FUT_18_Emp_Women,Age25_29, FALSE)/(HLOOKUP("Total",FUT_18_Emp_Women,Age25_29, FALSE)-HLOOKUP("Not applicable",FUT_18_Emp_Women,Age25_29, FALSE)),":")</f>
        <v>:</v>
      </c>
    </row>
    <row r="111" spans="1:14" x14ac:dyDescent="0.2">
      <c r="A111" s="98" t="s">
        <v>186</v>
      </c>
      <c r="B111" s="103"/>
      <c r="C111" s="100" t="str">
        <f t="shared" ref="C111:E111" si="39">IF(COUNT(C112:C113)&gt;0,SUM(C112:C113),":")</f>
        <v>:</v>
      </c>
      <c r="D111" s="101" t="str">
        <f t="shared" si="39"/>
        <v>:</v>
      </c>
      <c r="E111" s="102" t="str">
        <f t="shared" si="39"/>
        <v>:</v>
      </c>
      <c r="F111" s="100" t="str">
        <f t="shared" ref="F111:K111" si="40">IF(COUNT(F112:F113)&gt;0,SUM(F112:F113),":")</f>
        <v>:</v>
      </c>
      <c r="G111" s="101" t="str">
        <f t="shared" si="40"/>
        <v>:</v>
      </c>
      <c r="H111" s="102" t="str">
        <f t="shared" si="40"/>
        <v>:</v>
      </c>
      <c r="I111" s="100" t="str">
        <f t="shared" si="40"/>
        <v>:</v>
      </c>
      <c r="J111" s="101" t="str">
        <f t="shared" si="40"/>
        <v>:</v>
      </c>
      <c r="K111" s="102" t="str">
        <f t="shared" si="40"/>
        <v>:</v>
      </c>
      <c r="L111" s="100" t="str">
        <f t="shared" ref="L111:N111" si="41">IF(COUNT(L112:L113)&gt;0,SUM(L112:L113),":")</f>
        <v>:</v>
      </c>
      <c r="M111" s="101" t="str">
        <f t="shared" si="41"/>
        <v>:</v>
      </c>
      <c r="N111" s="102" t="str">
        <f t="shared" si="41"/>
        <v>:</v>
      </c>
    </row>
    <row r="112" spans="1:14" outlineLevel="1" x14ac:dyDescent="0.2">
      <c r="A112" s="50"/>
      <c r="B112" s="60" t="s">
        <v>20</v>
      </c>
      <c r="C112" s="52" t="str">
        <f>IFERROR(HLOOKUP($B112,FUT_18_Emp_Tot,Age15_29, FALSE)/(HLOOKUP("Total",FUT_18_Emp_Tot,Age15_29, FALSE)-HLOOKUP("Not applicable",FUT_18_Emp_Tot,Age15_29, FALSE)),":")</f>
        <v>:</v>
      </c>
      <c r="D112" s="53" t="str">
        <f>IFERROR(HLOOKUP($B112,FUT_18_Emp_Men,Age15_29, FALSE)/(HLOOKUP("Total",FUT_18_Emp_Men,Age15_29, FALSE)-HLOOKUP("Not applicable",FUT_18_Emp_Men,Age15_29, FALSE)),":")</f>
        <v>:</v>
      </c>
      <c r="E112" s="54" t="str">
        <f>IFERROR(HLOOKUP($B112,FUT_18_Emp_Women,Age15_29, FALSE)/(HLOOKUP("Total",FUT_18_Emp_Women,Age15_29, FALSE)-HLOOKUP("Not applicable",FUT_18_Emp_Women,Age15_29, FALSE)),":")</f>
        <v>:</v>
      </c>
      <c r="F112" s="52" t="str">
        <f>IFERROR(HLOOKUP($B112,FUT_18_Emp_Tot,Age15_19, FALSE)/(HLOOKUP("Total",FUT_18_Emp_Tot,Age15_19, FALSE)-HLOOKUP("Not applicable",FUT_18_Emp_Tot,Age15_19, FALSE)),":")</f>
        <v>:</v>
      </c>
      <c r="G112" s="53" t="str">
        <f>IFERROR(HLOOKUP($B112,FUT_18_Emp_Men,Age15_19, FALSE)/(HLOOKUP("Total",FUT_18_Emp_Men,Age15_19, FALSE)-HLOOKUP("Not applicable",FUT_18_Emp_Men,Age15_19, FALSE)),":")</f>
        <v>:</v>
      </c>
      <c r="H112" s="54" t="str">
        <f>IFERROR(HLOOKUP($B112,FUT_18_Emp_Women,Age15_19, FALSE)/(HLOOKUP("Total",FUT_18_Emp_Women,Age15_19, FALSE)-HLOOKUP("Not applicable",FUT_18_Emp_Women,Age15_19, FALSE)),":")</f>
        <v>:</v>
      </c>
      <c r="I112" s="52" t="str">
        <f>IFERROR(HLOOKUP($B112,FUT_18_Emp_Tot,Age20_24, FALSE)/(HLOOKUP("Total",FUT_18_Emp_Tot,Age20_24, FALSE)-HLOOKUP("Not applicable",FUT_18_Emp_Tot,Age20_24, FALSE)),":")</f>
        <v>:</v>
      </c>
      <c r="J112" s="53" t="str">
        <f>IFERROR(HLOOKUP($B112,FUT_18_Emp_Men,Age20_24, FALSE)/(HLOOKUP("Total",FUT_18_Emp_Men,Age20_24, FALSE)-HLOOKUP("Not applicable",FUT_18_Emp_Men,Age20_24, FALSE)),":")</f>
        <v>:</v>
      </c>
      <c r="K112" s="54" t="str">
        <f>IFERROR(HLOOKUP($B112,FUT_18_Emp_Women,Age20_24, FALSE)/(HLOOKUP("Total",FUT_18_Emp_Women,Age20_24, FALSE)-HLOOKUP("Not applicable",FUT_18_Emp_Women,Age20_24, FALSE)),":")</f>
        <v>:</v>
      </c>
      <c r="L112" s="52" t="str">
        <f>IFERROR(HLOOKUP($B112,FUT_18_Emp_Tot,Age25_29, FALSE)/(HLOOKUP("Total",FUT_18_Emp_Tot,Age25_29, FALSE)-HLOOKUP("Not applicable",FUT_18_Emp_Tot,Age25_29, FALSE)),":")</f>
        <v>:</v>
      </c>
      <c r="M112" s="53" t="str">
        <f>IFERROR(HLOOKUP($B112,FUT_18_Emp_Men,Age25_29, FALSE)/(HLOOKUP("Total",FUT_18_Emp_Men,Age25_29, FALSE)-HLOOKUP("Not applicable",FUT_18_Emp_Men,Age25_29, FALSE)),":")</f>
        <v>:</v>
      </c>
      <c r="N112" s="54" t="str">
        <f>IFERROR(HLOOKUP($B112,FUT_18_Emp_Women,Age25_29, FALSE)/(HLOOKUP("Total",FUT_18_Emp_Women,Age25_29, FALSE)-HLOOKUP("Not applicable",FUT_18_Emp_Women,Age25_29, FALSE)),":")</f>
        <v>:</v>
      </c>
    </row>
    <row r="113" spans="1:14" outlineLevel="1" x14ac:dyDescent="0.2">
      <c r="A113" s="50"/>
      <c r="B113" s="60" t="s">
        <v>91</v>
      </c>
      <c r="C113" s="52" t="str">
        <f>IFERROR(HLOOKUP($B113,FUT_18_Emp_Tot,Age15_29, FALSE)/(HLOOKUP("Total",FUT_18_Emp_Tot,Age15_29, FALSE)-HLOOKUP("Not applicable",FUT_18_Emp_Tot,Age15_29, FALSE)),":")</f>
        <v>:</v>
      </c>
      <c r="D113" s="53" t="str">
        <f>IFERROR(HLOOKUP($B113,FUT_18_Emp_Men,Age15_29, FALSE)/(HLOOKUP("Total",FUT_18_Emp_Men,Age15_29, FALSE)-HLOOKUP("Not applicable",FUT_18_Emp_Men,Age15_29, FALSE)),":")</f>
        <v>:</v>
      </c>
      <c r="E113" s="54" t="str">
        <f>IFERROR(HLOOKUP($B113,FUT_18_Emp_Women,Age15_29, FALSE)/(HLOOKUP("Total",FUT_18_Emp_Women,Age15_29, FALSE)-HLOOKUP("Not applicable",FUT_18_Emp_Women,Age15_29, FALSE)),":")</f>
        <v>:</v>
      </c>
      <c r="F113" s="52" t="str">
        <f>IFERROR(HLOOKUP($B113,FUT_18_Emp_Tot,Age15_19, FALSE)/(HLOOKUP("Total",FUT_18_Emp_Tot,Age15_19, FALSE)-HLOOKUP("Not applicable",FUT_18_Emp_Tot,Age15_19, FALSE)),":")</f>
        <v>:</v>
      </c>
      <c r="G113" s="53" t="str">
        <f>IFERROR(HLOOKUP($B113,FUT_18_Emp_Men,Age15_19, FALSE)/(HLOOKUP("Total",FUT_18_Emp_Men,Age15_19, FALSE)-HLOOKUP("Not applicable",FUT_18_Emp_Men,Age15_19, FALSE)),":")</f>
        <v>:</v>
      </c>
      <c r="H113" s="54" t="str">
        <f>IFERROR(HLOOKUP($B113,FUT_18_Emp_Women,Age15_19, FALSE)/(HLOOKUP("Total",FUT_18_Emp_Women,Age15_19, FALSE)-HLOOKUP("Not applicable",FUT_18_Emp_Women,Age15_19, FALSE)),":")</f>
        <v>:</v>
      </c>
      <c r="I113" s="52" t="str">
        <f>IFERROR(HLOOKUP($B113,FUT_18_Emp_Tot,Age20_24, FALSE)/(HLOOKUP("Total",FUT_18_Emp_Tot,Age20_24, FALSE)-HLOOKUP("Not applicable",FUT_18_Emp_Tot,Age20_24, FALSE)),":")</f>
        <v>:</v>
      </c>
      <c r="J113" s="53" t="str">
        <f>IFERROR(HLOOKUP($B113,FUT_18_Emp_Men,Age20_24, FALSE)/(HLOOKUP("Total",FUT_18_Emp_Men,Age20_24, FALSE)-HLOOKUP("Not applicable",FUT_18_Emp_Men,Age20_24, FALSE)),":")</f>
        <v>:</v>
      </c>
      <c r="K113" s="54" t="str">
        <f>IFERROR(HLOOKUP($B113,FUT_18_Emp_Women,Age20_24, FALSE)/(HLOOKUP("Total",FUT_18_Emp_Women,Age20_24, FALSE)-HLOOKUP("Not applicable",FUT_18_Emp_Women,Age20_24, FALSE)),":")</f>
        <v>:</v>
      </c>
      <c r="L113" s="52" t="str">
        <f>IFERROR(HLOOKUP($B113,FUT_18_Emp_Tot,Age25_29, FALSE)/(HLOOKUP("Total",FUT_18_Emp_Tot,Age25_29, FALSE)-HLOOKUP("Not applicable",FUT_18_Emp_Tot,Age25_29, FALSE)),":")</f>
        <v>:</v>
      </c>
      <c r="M113" s="53" t="str">
        <f>IFERROR(HLOOKUP($B113,FUT_18_Emp_Men,Age25_29, FALSE)/(HLOOKUP("Total",FUT_18_Emp_Men,Age25_29, FALSE)-HLOOKUP("Not applicable",FUT_18_Emp_Men,Age25_29, FALSE)),":")</f>
        <v>:</v>
      </c>
      <c r="N113" s="54" t="str">
        <f>IFERROR(HLOOKUP($B113,FUT_18_Emp_Women,Age25_29, FALSE)/(HLOOKUP("Total",FUT_18_Emp_Women,Age25_29, FALSE)-HLOOKUP("Not applicable",FUT_18_Emp_Women,Age25_29, FALSE)),":")</f>
        <v>:</v>
      </c>
    </row>
    <row r="114" spans="1:14" ht="16" thickBot="1" x14ac:dyDescent="0.25">
      <c r="A114" s="104" t="s">
        <v>21</v>
      </c>
      <c r="B114" s="105"/>
      <c r="C114" s="106" t="str">
        <f>IFERROR(HLOOKUP($A114,FUT_18_Emp_Tot,Age15_29, FALSE)/(HLOOKUP("Total",FUT_18_Emp_Tot,Age15_29, FALSE)-HLOOKUP("Not applicable",FUT_18_Emp_Tot,Age15_29, FALSE)),":")</f>
        <v>:</v>
      </c>
      <c r="D114" s="107" t="str">
        <f>IFERROR(HLOOKUP($A114,FUT_18_Emp_Men,Age15_29, FALSE)/(HLOOKUP("Total",FUT_18_Emp_Men,Age15_29, FALSE)-HLOOKUP("Not applicable",FUT_18_Emp_Men,Age15_29, FALSE)),":")</f>
        <v>:</v>
      </c>
      <c r="E114" s="108" t="str">
        <f>IFERROR(HLOOKUP($A114,FUT_18_Emp_Women,Age15_29, FALSE)/(HLOOKUP("Total",FUT_18_Emp_Women,Age15_29, FALSE)-HLOOKUP("Not applicable",FUT_18_Emp_Women,Age15_29, FALSE)),":")</f>
        <v>:</v>
      </c>
      <c r="F114" s="106" t="str">
        <f>IFERROR(HLOOKUP($A114,FUT_18_Emp_Tot,Age15_19, FALSE)/(HLOOKUP("Total",FUT_18_Emp_Tot,Age15_19, FALSE)-HLOOKUP("Not applicable",FUT_18_Emp_Tot,Age15_19, FALSE)),":")</f>
        <v>:</v>
      </c>
      <c r="G114" s="107" t="str">
        <f>IFERROR(HLOOKUP($A114,FUT_18_Emp_Men,Age15_19, FALSE)/(HLOOKUP("Total",FUT_18_Emp_Men,Age15_19, FALSE)-HLOOKUP("Not applicable",FUT_18_Emp_Men,Age15_19, FALSE)),":")</f>
        <v>:</v>
      </c>
      <c r="H114" s="108" t="str">
        <f>IFERROR(HLOOKUP($A114,FUT_18_Emp_Women,Age15_19, FALSE)/(HLOOKUP("Total",FUT_18_Emp_Women,Age15_19, FALSE)-HLOOKUP("Not applicable",FUT_18_Emp_Women,Age15_19, FALSE)),":")</f>
        <v>:</v>
      </c>
      <c r="I114" s="106" t="str">
        <f>IFERROR(HLOOKUP($A114,FUT_18_Emp_Tot,Age20_24, FALSE)/(HLOOKUP("Total",FUT_18_Emp_Tot,Age20_24, FALSE)-HLOOKUP("Not applicable",FUT_18_Emp_Tot,Age20_24, FALSE)),":")</f>
        <v>:</v>
      </c>
      <c r="J114" s="107" t="str">
        <f>IFERROR(HLOOKUP($A114,FUT_18_Emp_Men,Age20_24, FALSE)/(HLOOKUP("Total",FUT_18_Emp_Men,Age20_24, FALSE)-HLOOKUP("Not applicable",FUT_18_Emp_Men,Age20_24, FALSE)),":")</f>
        <v>:</v>
      </c>
      <c r="K114" s="108" t="str">
        <f>IFERROR(HLOOKUP($A114,FUT_18_Emp_Women,Age20_24, FALSE)/(HLOOKUP("Total",FUT_18_Emp_Women,Age20_24, FALSE)-HLOOKUP("Not applicable",FUT_18_Emp_Women,Age20_24, FALSE)),":")</f>
        <v>:</v>
      </c>
      <c r="L114" s="106" t="str">
        <f>IFERROR(HLOOKUP($A114,FUT_18_Emp_Tot,Age25_29, FALSE)/(HLOOKUP("Total",FUT_18_Emp_Tot,Age25_29, FALSE)-HLOOKUP("Not applicable",FUT_18_Emp_Tot,Age25_29, FALSE)),":")</f>
        <v>:</v>
      </c>
      <c r="M114" s="107" t="str">
        <f>IFERROR(HLOOKUP($A114,FUT_18_Emp_Men,Age25_29, FALSE)/(HLOOKUP("Total",FUT_18_Emp_Men,Age25_29, FALSE)-HLOOKUP("Not applicable",FUT_18_Emp_Men,Age25_29, FALSE)),":")</f>
        <v>:</v>
      </c>
      <c r="N114" s="108" t="str">
        <f>IFERROR(HLOOKUP($A114,FUT_18_Emp_Women,Age25_29, FALSE)/(HLOOKUP("Total",FUT_18_Emp_Women,Age25_29, FALSE)-HLOOKUP("Not applicable",FUT_18_Emp_Women,Age25_29, FALSE)),":")</f>
        <v>:</v>
      </c>
    </row>
    <row r="115" spans="1:14" ht="16" thickTop="1" x14ac:dyDescent="0.2"/>
    <row r="116" spans="1:14" s="45" customFormat="1" x14ac:dyDescent="0.2">
      <c r="A116" s="45" t="s">
        <v>204</v>
      </c>
      <c r="C116" s="45" t="s">
        <v>192</v>
      </c>
    </row>
    <row r="117" spans="1:14" s="45" customFormat="1" ht="58.5" customHeight="1" x14ac:dyDescent="0.2">
      <c r="A117" s="45" t="s">
        <v>206</v>
      </c>
      <c r="C117" s="346" t="s">
        <v>583</v>
      </c>
      <c r="D117" s="346"/>
      <c r="E117" s="346"/>
      <c r="F117" s="346"/>
      <c r="G117" s="346"/>
      <c r="H117" s="346"/>
      <c r="I117" s="346"/>
      <c r="J117" s="346"/>
      <c r="K117" s="163"/>
    </row>
    <row r="118" spans="1:14" ht="16" thickBot="1" x14ac:dyDescent="0.25"/>
    <row r="119" spans="1:14" ht="15.75" customHeight="1" thickTop="1" x14ac:dyDescent="0.2">
      <c r="A119" s="352" t="s">
        <v>184</v>
      </c>
      <c r="B119" s="353"/>
      <c r="C119" s="347" t="s">
        <v>228</v>
      </c>
      <c r="D119" s="348"/>
      <c r="E119" s="349"/>
      <c r="F119" s="347" t="s">
        <v>11</v>
      </c>
      <c r="G119" s="348"/>
      <c r="H119" s="349"/>
      <c r="I119" s="356" t="s">
        <v>13</v>
      </c>
      <c r="J119" s="348"/>
      <c r="K119" s="349"/>
      <c r="L119" s="347" t="s">
        <v>227</v>
      </c>
      <c r="M119" s="348"/>
      <c r="N119" s="350"/>
    </row>
    <row r="120" spans="1:14" x14ac:dyDescent="0.2">
      <c r="A120" s="354"/>
      <c r="B120" s="355"/>
      <c r="C120" s="49" t="s">
        <v>3</v>
      </c>
      <c r="D120" s="47" t="s">
        <v>4</v>
      </c>
      <c r="E120" s="48" t="s">
        <v>5</v>
      </c>
      <c r="F120" s="49" t="s">
        <v>3</v>
      </c>
      <c r="G120" s="47" t="s">
        <v>4</v>
      </c>
      <c r="H120" s="48" t="s">
        <v>5</v>
      </c>
      <c r="I120" s="46" t="s">
        <v>3</v>
      </c>
      <c r="J120" s="47" t="s">
        <v>4</v>
      </c>
      <c r="K120" s="48" t="s">
        <v>5</v>
      </c>
      <c r="L120" s="49" t="s">
        <v>3</v>
      </c>
      <c r="M120" s="47" t="s">
        <v>4</v>
      </c>
      <c r="N120" s="164" t="s">
        <v>5</v>
      </c>
    </row>
    <row r="121" spans="1:14" x14ac:dyDescent="0.2">
      <c r="A121" s="98" t="s">
        <v>185</v>
      </c>
      <c r="B121" s="99"/>
      <c r="C121" s="100" t="str">
        <f t="shared" ref="C121:E121" si="42">IF(COUNT(C122:C125)&gt;0,SUM(C122:C125),":")</f>
        <v>:</v>
      </c>
      <c r="D121" s="101" t="str">
        <f t="shared" si="42"/>
        <v>:</v>
      </c>
      <c r="E121" s="102" t="str">
        <f t="shared" si="42"/>
        <v>:</v>
      </c>
      <c r="F121" s="100" t="str">
        <f t="shared" ref="F121:K121" si="43">IF(COUNT(F122:F125)&gt;0,SUM(F122:F125),":")</f>
        <v>:</v>
      </c>
      <c r="G121" s="101" t="str">
        <f t="shared" si="43"/>
        <v>:</v>
      </c>
      <c r="H121" s="102" t="str">
        <f t="shared" si="43"/>
        <v>:</v>
      </c>
      <c r="I121" s="100" t="str">
        <f t="shared" si="43"/>
        <v>:</v>
      </c>
      <c r="J121" s="101" t="str">
        <f t="shared" si="43"/>
        <v>:</v>
      </c>
      <c r="K121" s="102" t="str">
        <f t="shared" si="43"/>
        <v>:</v>
      </c>
      <c r="L121" s="100" t="str">
        <f t="shared" ref="L121:N121" si="44">IF(COUNT(L122:L125)&gt;0,SUM(L122:L125),":")</f>
        <v>:</v>
      </c>
      <c r="M121" s="101" t="str">
        <f t="shared" si="44"/>
        <v>:</v>
      </c>
      <c r="N121" s="102" t="str">
        <f t="shared" si="44"/>
        <v>:</v>
      </c>
    </row>
    <row r="122" spans="1:14" outlineLevel="1" x14ac:dyDescent="0.2">
      <c r="A122" s="50"/>
      <c r="B122" s="60" t="s">
        <v>15</v>
      </c>
      <c r="C122" s="52" t="str">
        <f>IFERROR(HLOOKUP($B122,FUT_6_Educ_Tot,Age15_29, FALSE)/(HLOOKUP("Total",FUT_6_Educ_Tot,Age15_29, FALSE)-HLOOKUP("Not applicable",FUT_6_Educ_Tot,Age15_29, FALSE)),":")</f>
        <v>:</v>
      </c>
      <c r="D122" s="53" t="str">
        <f>IFERROR(HLOOKUP($B122,FUT_6_Educ_Men,Age15_29, FALSE)/(HLOOKUP("Total",FUT_6_Educ_Men,Age15_29, FALSE)-HLOOKUP("Not applicable",FUT_6_Educ_Men,Age15_29, FALSE)),":")</f>
        <v>:</v>
      </c>
      <c r="E122" s="54" t="str">
        <f>IFERROR(HLOOKUP($B122,FUT_6_Educ_Women,Age15_29, FALSE)/(HLOOKUP("Total",FUT_6_Educ_Women,Age15_29, FALSE)-HLOOKUP("Not applicable",FUT_6_Educ_Women,Age15_29, FALSE)),":")</f>
        <v>:</v>
      </c>
      <c r="F122" s="52" t="str">
        <f>IFERROR(HLOOKUP($B122,FUT_6_Educ_Tot,Age15_19, FALSE)/(HLOOKUP("Total",FUT_6_Educ_Tot,Age15_19, FALSE)-HLOOKUP("Not applicable",FUT_6_Educ_Tot,Age15_19, FALSE)),":")</f>
        <v>:</v>
      </c>
      <c r="G122" s="53" t="str">
        <f>IFERROR(HLOOKUP($B122,FUT_6_Educ_Men,Age15_19, FALSE)/(HLOOKUP("Total",FUT_6_Educ_Men,Age15_19, FALSE)-HLOOKUP("Not applicable",FUT_6_Educ_Men,Age15_19, FALSE)),":")</f>
        <v>:</v>
      </c>
      <c r="H122" s="54" t="str">
        <f>IFERROR(HLOOKUP($B122,FUT_6_Educ_Women,Age15_19, FALSE)/(HLOOKUP("Total",FUT_6_Educ_Women,Age15_19, FALSE)-HLOOKUP("Not applicable",FUT_6_Educ_Women,Age15_19, FALSE)),":")</f>
        <v>:</v>
      </c>
      <c r="I122" s="52" t="str">
        <f>IFERROR(HLOOKUP($B122,FUT_6_Educ_Tot,Age20_24, FALSE)/(HLOOKUP("Total",FUT_6_Educ_Tot,Age20_24, FALSE)-HLOOKUP("Not applicable",FUT_6_Educ_Tot,Age20_24, FALSE)),":")</f>
        <v>:</v>
      </c>
      <c r="J122" s="53" t="str">
        <f>IFERROR(HLOOKUP($B122,FUT_6_Educ_Men,Age20_24, FALSE)/(HLOOKUP("Total",FUT_6_Educ_Men,Age20_24, FALSE)-HLOOKUP("Not applicable",FUT_6_Educ_Men,Age20_24, FALSE)),":")</f>
        <v>:</v>
      </c>
      <c r="K122" s="54" t="str">
        <f>IFERROR(HLOOKUP($B122,FUT_6_Educ_Women,Age20_24, FALSE)/(HLOOKUP("Total",FUT_6_Educ_Women,Age20_24, FALSE)-HLOOKUP("Not applicable",FUT_6_Educ_Women,Age20_24, FALSE)),":")</f>
        <v>:</v>
      </c>
      <c r="L122" s="52" t="str">
        <f>IFERROR(HLOOKUP($B122,FUT_6_Educ_Tot,Age25_29, FALSE)/(HLOOKUP("Total",FUT_6_Educ_Tot,Age25_29, FALSE)-HLOOKUP("Not applicable",FUT_6_Educ_Tot,Age25_29, FALSE)),":")</f>
        <v>:</v>
      </c>
      <c r="M122" s="53" t="str">
        <f>IFERROR(HLOOKUP($B122,FUT_6_Educ_Men,Age25_29, FALSE)/(HLOOKUP("Total",FUT_6_Educ_Men,Age25_29, FALSE)-HLOOKUP("Not applicable",FUT_6_Educ_Men,Age25_29, FALSE)),":")</f>
        <v>:</v>
      </c>
      <c r="N122" s="54" t="str">
        <f>IFERROR(HLOOKUP($B122,FUT_6_Educ_Women,Age25_29, FALSE)/(HLOOKUP("Total",FUT_6_Educ_Women,Age25_29, FALSE)-HLOOKUP("Not applicable",FUT_6_Educ_Women,Age25_29, FALSE)),":")</f>
        <v>:</v>
      </c>
    </row>
    <row r="123" spans="1:14" outlineLevel="1" x14ac:dyDescent="0.2">
      <c r="A123" s="50"/>
      <c r="B123" s="60" t="s">
        <v>16</v>
      </c>
      <c r="C123" s="52" t="str">
        <f>IFERROR(HLOOKUP($B123,FUT_6_Educ_Tot,Age15_29, FALSE)/(HLOOKUP("Total",FUT_6_Educ_Tot,Age15_29, FALSE)-HLOOKUP("Not applicable",FUT_6_Educ_Tot,Age15_29, FALSE)),":")</f>
        <v>:</v>
      </c>
      <c r="D123" s="53" t="str">
        <f>IFERROR(HLOOKUP($B123,FUT_6_Educ_Men,Age15_29, FALSE)/(HLOOKUP("Total",FUT_6_Educ_Men,Age15_29, FALSE)-HLOOKUP("Not applicable",FUT_6_Educ_Men,Age15_29, FALSE)),":")</f>
        <v>:</v>
      </c>
      <c r="E123" s="54" t="str">
        <f>IFERROR(HLOOKUP($B123,FUT_6_Educ_Women,Age15_29, FALSE)/(HLOOKUP("Total",FUT_6_Educ_Women,Age15_29, FALSE)-HLOOKUP("Not applicable",FUT_6_Educ_Women,Age15_29, FALSE)),":")</f>
        <v>:</v>
      </c>
      <c r="F123" s="52" t="str">
        <f>IFERROR(HLOOKUP($B123,FUT_6_Educ_Tot,Age15_19, FALSE)/(HLOOKUP("Total",FUT_6_Educ_Tot,Age15_19, FALSE)-HLOOKUP("Not applicable",FUT_6_Educ_Tot,Age15_19, FALSE)),":")</f>
        <v>:</v>
      </c>
      <c r="G123" s="53" t="str">
        <f>IFERROR(HLOOKUP($B123,FUT_6_Educ_Men,Age15_19, FALSE)/(HLOOKUP("Total",FUT_6_Educ_Men,Age15_19, FALSE)-HLOOKUP("Not applicable",FUT_6_Educ_Men,Age15_19, FALSE)),":")</f>
        <v>:</v>
      </c>
      <c r="H123" s="54" t="str">
        <f>IFERROR(HLOOKUP($B123,FUT_6_Educ_Women,Age15_19, FALSE)/(HLOOKUP("Total",FUT_6_Educ_Women,Age15_19, FALSE)-HLOOKUP("Not applicable",FUT_6_Educ_Women,Age15_19, FALSE)),":")</f>
        <v>:</v>
      </c>
      <c r="I123" s="52" t="str">
        <f>IFERROR(HLOOKUP($B123,FUT_6_Educ_Tot,Age20_24, FALSE)/(HLOOKUP("Total",FUT_6_Educ_Tot,Age20_24, FALSE)-HLOOKUP("Not applicable",FUT_6_Educ_Tot,Age20_24, FALSE)),":")</f>
        <v>:</v>
      </c>
      <c r="J123" s="53" t="str">
        <f>IFERROR(HLOOKUP($B123,FUT_6_Educ_Men,Age20_24, FALSE)/(HLOOKUP("Total",FUT_6_Educ_Men,Age20_24, FALSE)-HLOOKUP("Not applicable",FUT_6_Educ_Men,Age20_24, FALSE)),":")</f>
        <v>:</v>
      </c>
      <c r="K123" s="54" t="str">
        <f>IFERROR(HLOOKUP($B123,FUT_6_Educ_Women,Age20_24, FALSE)/(HLOOKUP("Total",FUT_6_Educ_Women,Age20_24, FALSE)-HLOOKUP("Not applicable",FUT_6_Educ_Women,Age20_24, FALSE)),":")</f>
        <v>:</v>
      </c>
      <c r="L123" s="52" t="str">
        <f>IFERROR(HLOOKUP($B123,FUT_6_Educ_Tot,Age25_29, FALSE)/(HLOOKUP("Total",FUT_6_Educ_Tot,Age25_29, FALSE)-HLOOKUP("Not applicable",FUT_6_Educ_Tot,Age25_29, FALSE)),":")</f>
        <v>:</v>
      </c>
      <c r="M123" s="53" t="str">
        <f>IFERROR(HLOOKUP($B123,FUT_6_Educ_Men,Age25_29, FALSE)/(HLOOKUP("Total",FUT_6_Educ_Men,Age25_29, FALSE)-HLOOKUP("Not applicable",FUT_6_Educ_Men,Age25_29, FALSE)),":")</f>
        <v>:</v>
      </c>
      <c r="N123" s="54" t="str">
        <f>IFERROR(HLOOKUP($B123,FUT_6_Educ_Women,Age25_29, FALSE)/(HLOOKUP("Total",FUT_6_Educ_Women,Age25_29, FALSE)-HLOOKUP("Not applicable",FUT_6_Educ_Women,Age25_29, FALSE)),":")</f>
        <v>:</v>
      </c>
    </row>
    <row r="124" spans="1:14" outlineLevel="1" x14ac:dyDescent="0.2">
      <c r="A124" s="50"/>
      <c r="B124" s="60" t="s">
        <v>17</v>
      </c>
      <c r="C124" s="52" t="str">
        <f>IFERROR(HLOOKUP($B124,FUT_6_Educ_Tot,Age15_29, FALSE)/(HLOOKUP("Total",FUT_6_Educ_Tot,Age15_29, FALSE)-HLOOKUP("Not applicable",FUT_6_Educ_Tot,Age15_29, FALSE)),":")</f>
        <v>:</v>
      </c>
      <c r="D124" s="53" t="str">
        <f>IFERROR(HLOOKUP($B124,FUT_6_Educ_Men,Age15_29, FALSE)/(HLOOKUP("Total",FUT_6_Educ_Men,Age15_29, FALSE)-HLOOKUP("Not applicable",FUT_6_Educ_Men,Age15_29, FALSE)),":")</f>
        <v>:</v>
      </c>
      <c r="E124" s="54" t="str">
        <f>IFERROR(HLOOKUP($B124,FUT_6_Educ_Women,Age15_29, FALSE)/(HLOOKUP("Total",FUT_6_Educ_Women,Age15_29, FALSE)-HLOOKUP("Not applicable",FUT_6_Educ_Women,Age15_29, FALSE)),":")</f>
        <v>:</v>
      </c>
      <c r="F124" s="52" t="str">
        <f>IFERROR(HLOOKUP($B124,FUT_6_Educ_Tot,Age15_19, FALSE)/(HLOOKUP("Total",FUT_6_Educ_Tot,Age15_19, FALSE)-HLOOKUP("Not applicable",FUT_6_Educ_Tot,Age15_19, FALSE)),":")</f>
        <v>:</v>
      </c>
      <c r="G124" s="53" t="str">
        <f>IFERROR(HLOOKUP($B124,FUT_6_Educ_Men,Age15_19, FALSE)/(HLOOKUP("Total",FUT_6_Educ_Men,Age15_19, FALSE)-HLOOKUP("Not applicable",FUT_6_Educ_Men,Age15_19, FALSE)),":")</f>
        <v>:</v>
      </c>
      <c r="H124" s="54" t="str">
        <f>IFERROR(HLOOKUP($B124,FUT_6_Educ_Women,Age15_19, FALSE)/(HLOOKUP("Total",FUT_6_Educ_Women,Age15_19, FALSE)-HLOOKUP("Not applicable",FUT_6_Educ_Women,Age15_19, FALSE)),":")</f>
        <v>:</v>
      </c>
      <c r="I124" s="52" t="str">
        <f>IFERROR(HLOOKUP($B124,FUT_6_Educ_Tot,Age20_24, FALSE)/(HLOOKUP("Total",FUT_6_Educ_Tot,Age20_24, FALSE)-HLOOKUP("Not applicable",FUT_6_Educ_Tot,Age20_24, FALSE)),":")</f>
        <v>:</v>
      </c>
      <c r="J124" s="53" t="str">
        <f>IFERROR(HLOOKUP($B124,FUT_6_Educ_Men,Age20_24, FALSE)/(HLOOKUP("Total",FUT_6_Educ_Men,Age20_24, FALSE)-HLOOKUP("Not applicable",FUT_6_Educ_Men,Age20_24, FALSE)),":")</f>
        <v>:</v>
      </c>
      <c r="K124" s="54" t="str">
        <f>IFERROR(HLOOKUP($B124,FUT_6_Educ_Women,Age20_24, FALSE)/(HLOOKUP("Total",FUT_6_Educ_Women,Age20_24, FALSE)-HLOOKUP("Not applicable",FUT_6_Educ_Women,Age20_24, FALSE)),":")</f>
        <v>:</v>
      </c>
      <c r="L124" s="52" t="str">
        <f>IFERROR(HLOOKUP($B124,FUT_6_Educ_Tot,Age25_29, FALSE)/(HLOOKUP("Total",FUT_6_Educ_Tot,Age25_29, FALSE)-HLOOKUP("Not applicable",FUT_6_Educ_Tot,Age25_29, FALSE)),":")</f>
        <v>:</v>
      </c>
      <c r="M124" s="53" t="str">
        <f>IFERROR(HLOOKUP($B124,FUT_6_Educ_Men,Age25_29, FALSE)/(HLOOKUP("Total",FUT_6_Educ_Men,Age25_29, FALSE)-HLOOKUP("Not applicable",FUT_6_Educ_Men,Age25_29, FALSE)),":")</f>
        <v>:</v>
      </c>
      <c r="N124" s="54" t="str">
        <f>IFERROR(HLOOKUP($B124,FUT_6_Educ_Women,Age25_29, FALSE)/(HLOOKUP("Total",FUT_6_Educ_Women,Age25_29, FALSE)-HLOOKUP("Not applicable",FUT_6_Educ_Women,Age25_29, FALSE)),":")</f>
        <v>:</v>
      </c>
    </row>
    <row r="125" spans="1:14" outlineLevel="1" x14ac:dyDescent="0.2">
      <c r="A125" s="50"/>
      <c r="B125" s="60" t="s">
        <v>18</v>
      </c>
      <c r="C125" s="52" t="str">
        <f>IFERROR(HLOOKUP($B125,FUT_6_Educ_Tot,Age15_29, FALSE)/(HLOOKUP("Total",FUT_6_Educ_Tot,Age15_29, FALSE)-HLOOKUP("Not applicable",FUT_6_Educ_Tot,Age15_29, FALSE)),":")</f>
        <v>:</v>
      </c>
      <c r="D125" s="53" t="str">
        <f>IFERROR(HLOOKUP($B125,FUT_6_Educ_Men,Age15_29, FALSE)/(HLOOKUP("Total",FUT_6_Educ_Men,Age15_29, FALSE)-HLOOKUP("Not applicable",FUT_6_Educ_Men,Age15_29, FALSE)),":")</f>
        <v>:</v>
      </c>
      <c r="E125" s="54" t="str">
        <f>IFERROR(HLOOKUP($B125,FUT_6_Educ_Women,Age15_29, FALSE)/(HLOOKUP("Total",FUT_6_Educ_Women,Age15_29, FALSE)-HLOOKUP("Not applicable",FUT_6_Educ_Women,Age15_29, FALSE)),":")</f>
        <v>:</v>
      </c>
      <c r="F125" s="52" t="str">
        <f>IFERROR(HLOOKUP($B125,FUT_6_Educ_Tot,Age15_19, FALSE)/(HLOOKUP("Total",FUT_6_Educ_Tot,Age15_19, FALSE)-HLOOKUP("Not applicable",FUT_6_Educ_Tot,Age15_19, FALSE)),":")</f>
        <v>:</v>
      </c>
      <c r="G125" s="53" t="str">
        <f>IFERROR(HLOOKUP($B125,FUT_6_Educ_Men,Age15_19, FALSE)/(HLOOKUP("Total",FUT_6_Educ_Men,Age15_19, FALSE)-HLOOKUP("Not applicable",FUT_6_Educ_Men,Age15_19, FALSE)),":")</f>
        <v>:</v>
      </c>
      <c r="H125" s="54" t="str">
        <f>IFERROR(HLOOKUP($B125,FUT_6_Educ_Women,Age15_19, FALSE)/(HLOOKUP("Total",FUT_6_Educ_Women,Age15_19, FALSE)-HLOOKUP("Not applicable",FUT_6_Educ_Women,Age15_19, FALSE)),":")</f>
        <v>:</v>
      </c>
      <c r="I125" s="52" t="str">
        <f>IFERROR(HLOOKUP($B125,FUT_6_Educ_Tot,Age20_24, FALSE)/(HLOOKUP("Total",FUT_6_Educ_Tot,Age20_24, FALSE)-HLOOKUP("Not applicable",FUT_6_Educ_Tot,Age20_24, FALSE)),":")</f>
        <v>:</v>
      </c>
      <c r="J125" s="53" t="str">
        <f>IFERROR(HLOOKUP($B125,FUT_6_Educ_Men,Age20_24, FALSE)/(HLOOKUP("Total",FUT_6_Educ_Men,Age20_24, FALSE)-HLOOKUP("Not applicable",FUT_6_Educ_Men,Age20_24, FALSE)),":")</f>
        <v>:</v>
      </c>
      <c r="K125" s="54" t="str">
        <f>IFERROR(HLOOKUP($B125,FUT_6_Educ_Women,Age20_24, FALSE)/(HLOOKUP("Total",FUT_6_Educ_Women,Age20_24, FALSE)-HLOOKUP("Not applicable",FUT_6_Educ_Women,Age20_24, FALSE)),":")</f>
        <v>:</v>
      </c>
      <c r="L125" s="52" t="str">
        <f>IFERROR(HLOOKUP($B125,FUT_6_Educ_Tot,Age25_29, FALSE)/(HLOOKUP("Total",FUT_6_Educ_Tot,Age25_29, FALSE)-HLOOKUP("Not applicable",FUT_6_Educ_Tot,Age25_29, FALSE)),":")</f>
        <v>:</v>
      </c>
      <c r="M125" s="53" t="str">
        <f>IFERROR(HLOOKUP($B125,FUT_6_Educ_Men,Age25_29, FALSE)/(HLOOKUP("Total",FUT_6_Educ_Men,Age25_29, FALSE)-HLOOKUP("Not applicable",FUT_6_Educ_Men,Age25_29, FALSE)),":")</f>
        <v>:</v>
      </c>
      <c r="N125" s="54" t="str">
        <f>IFERROR(HLOOKUP($B125,FUT_6_Educ_Women,Age25_29, FALSE)/(HLOOKUP("Total",FUT_6_Educ_Women,Age25_29, FALSE)-HLOOKUP("Not applicable",FUT_6_Educ_Women,Age25_29, FALSE)),":")</f>
        <v>:</v>
      </c>
    </row>
    <row r="126" spans="1:14" x14ac:dyDescent="0.2">
      <c r="A126" s="98" t="s">
        <v>186</v>
      </c>
      <c r="B126" s="103"/>
      <c r="C126" s="100" t="str">
        <f t="shared" ref="C126:E126" si="45">IF(COUNT(C127:C128)&gt;0,SUM(C127:C128),":")</f>
        <v>:</v>
      </c>
      <c r="D126" s="101" t="str">
        <f t="shared" si="45"/>
        <v>:</v>
      </c>
      <c r="E126" s="102" t="str">
        <f t="shared" si="45"/>
        <v>:</v>
      </c>
      <c r="F126" s="100" t="str">
        <f t="shared" ref="F126:K126" si="46">IF(COUNT(F127:F128)&gt;0,SUM(F127:F128),":")</f>
        <v>:</v>
      </c>
      <c r="G126" s="101" t="str">
        <f t="shared" si="46"/>
        <v>:</v>
      </c>
      <c r="H126" s="102" t="str">
        <f t="shared" si="46"/>
        <v>:</v>
      </c>
      <c r="I126" s="100" t="str">
        <f t="shared" si="46"/>
        <v>:</v>
      </c>
      <c r="J126" s="101" t="str">
        <f t="shared" si="46"/>
        <v>:</v>
      </c>
      <c r="K126" s="102" t="str">
        <f t="shared" si="46"/>
        <v>:</v>
      </c>
      <c r="L126" s="100" t="str">
        <f t="shared" ref="L126:N126" si="47">IF(COUNT(L127:L128)&gt;0,SUM(L127:L128),":")</f>
        <v>:</v>
      </c>
      <c r="M126" s="101" t="str">
        <f t="shared" si="47"/>
        <v>:</v>
      </c>
      <c r="N126" s="102" t="str">
        <f t="shared" si="47"/>
        <v>:</v>
      </c>
    </row>
    <row r="127" spans="1:14" outlineLevel="1" x14ac:dyDescent="0.2">
      <c r="A127" s="50"/>
      <c r="B127" s="60" t="s">
        <v>20</v>
      </c>
      <c r="C127" s="52" t="str">
        <f>IFERROR(HLOOKUP($B127,FUT_6_Educ_Tot,Age15_29, FALSE)/(HLOOKUP("Total",FUT_6_Educ_Tot,Age15_29, FALSE)-HLOOKUP("Not applicable",FUT_6_Educ_Tot,Age15_29, FALSE)),":")</f>
        <v>:</v>
      </c>
      <c r="D127" s="53" t="str">
        <f>IFERROR(HLOOKUP($B127,FUT_6_Educ_Men,Age15_29, FALSE)/(HLOOKUP("Total",FUT_6_Educ_Men,Age15_29, FALSE)-HLOOKUP("Not applicable",FUT_6_Educ_Men,Age15_29, FALSE)),":")</f>
        <v>:</v>
      </c>
      <c r="E127" s="54" t="str">
        <f>IFERROR(HLOOKUP($B127,FUT_6_Educ_Women,Age15_29, FALSE)/(HLOOKUP("Total",FUT_6_Educ_Women,Age15_29, FALSE)-HLOOKUP("Not applicable",FUT_6_Educ_Women,Age15_29, FALSE)),":")</f>
        <v>:</v>
      </c>
      <c r="F127" s="52" t="str">
        <f>IFERROR(HLOOKUP($B127,FUT_6_Educ_Tot,Age15_19, FALSE)/(HLOOKUP("Total",FUT_6_Educ_Tot,Age15_19, FALSE)-HLOOKUP("Not applicable",FUT_6_Educ_Tot,Age15_19, FALSE)),":")</f>
        <v>:</v>
      </c>
      <c r="G127" s="53" t="str">
        <f>IFERROR(HLOOKUP($B127,FUT_6_Educ_Men,Age15_19, FALSE)/(HLOOKUP("Total",FUT_6_Educ_Men,Age15_19, FALSE)-HLOOKUP("Not applicable",FUT_6_Educ_Men,Age15_19, FALSE)),":")</f>
        <v>:</v>
      </c>
      <c r="H127" s="54" t="str">
        <f>IFERROR(HLOOKUP($B127,FUT_6_Educ_Women,Age15_19, FALSE)/(HLOOKUP("Total",FUT_6_Educ_Women,Age15_19, FALSE)-HLOOKUP("Not applicable",FUT_6_Educ_Women,Age15_19, FALSE)),":")</f>
        <v>:</v>
      </c>
      <c r="I127" s="52" t="str">
        <f>IFERROR(HLOOKUP($B127,FUT_6_Educ_Tot,Age20_24, FALSE)/(HLOOKUP("Total",FUT_6_Educ_Tot,Age20_24, FALSE)-HLOOKUP("Not applicable",FUT_6_Educ_Tot,Age20_24, FALSE)),":")</f>
        <v>:</v>
      </c>
      <c r="J127" s="53" t="str">
        <f>IFERROR(HLOOKUP($B127,FUT_6_Educ_Men,Age20_24, FALSE)/(HLOOKUP("Total",FUT_6_Educ_Men,Age20_24, FALSE)-HLOOKUP("Not applicable",FUT_6_Educ_Men,Age20_24, FALSE)),":")</f>
        <v>:</v>
      </c>
      <c r="K127" s="54" t="str">
        <f>IFERROR(HLOOKUP($B127,FUT_6_Educ_Women,Age20_24, FALSE)/(HLOOKUP("Total",FUT_6_Educ_Women,Age20_24, FALSE)-HLOOKUP("Not applicable",FUT_6_Educ_Women,Age20_24, FALSE)),":")</f>
        <v>:</v>
      </c>
      <c r="L127" s="52" t="str">
        <f>IFERROR(HLOOKUP($B127,FUT_6_Educ_Tot,Age25_29, FALSE)/(HLOOKUP("Total",FUT_6_Educ_Tot,Age25_29, FALSE)-HLOOKUP("Not applicable",FUT_6_Educ_Tot,Age25_29, FALSE)),":")</f>
        <v>:</v>
      </c>
      <c r="M127" s="53" t="str">
        <f>IFERROR(HLOOKUP($B127,FUT_6_Educ_Men,Age25_29, FALSE)/(HLOOKUP("Total",FUT_6_Educ_Men,Age25_29, FALSE)-HLOOKUP("Not applicable",FUT_6_Educ_Men,Age25_29, FALSE)),":")</f>
        <v>:</v>
      </c>
      <c r="N127" s="54" t="str">
        <f>IFERROR(HLOOKUP($B127,FUT_6_Educ_Women,Age25_29, FALSE)/(HLOOKUP("Total",FUT_6_Educ_Women,Age25_29, FALSE)-HLOOKUP("Not applicable",FUT_6_Educ_Women,Age25_29, FALSE)),":")</f>
        <v>:</v>
      </c>
    </row>
    <row r="128" spans="1:14" outlineLevel="1" x14ac:dyDescent="0.2">
      <c r="A128" s="50"/>
      <c r="B128" s="60" t="s">
        <v>91</v>
      </c>
      <c r="C128" s="52" t="str">
        <f>IFERROR(HLOOKUP($B128,FUT_6_Educ_Tot,Age15_29, FALSE)/(HLOOKUP("Total",FUT_6_Educ_Tot,Age15_29, FALSE)-HLOOKUP("Not applicable",FUT_6_Educ_Tot,Age15_29, FALSE)),":")</f>
        <v>:</v>
      </c>
      <c r="D128" s="53" t="str">
        <f>IFERROR(HLOOKUP($B128,FUT_6_Educ_Men,Age15_29, FALSE)/(HLOOKUP("Total",FUT_6_Educ_Men,Age15_29, FALSE)-HLOOKUP("Not applicable",FUT_6_Educ_Men,Age15_29, FALSE)),":")</f>
        <v>:</v>
      </c>
      <c r="E128" s="54" t="str">
        <f>IFERROR(HLOOKUP($B128,FUT_6_Educ_Women,Age15_29, FALSE)/(HLOOKUP("Total",FUT_6_Educ_Women,Age15_29, FALSE)-HLOOKUP("Not applicable",FUT_6_Educ_Women,Age15_29, FALSE)),":")</f>
        <v>:</v>
      </c>
      <c r="F128" s="52" t="str">
        <f>IFERROR(HLOOKUP($B128,FUT_6_Educ_Tot,Age15_19, FALSE)/(HLOOKUP("Total",FUT_6_Educ_Tot,Age15_19, FALSE)-HLOOKUP("Not applicable",FUT_6_Educ_Tot,Age15_19, FALSE)),":")</f>
        <v>:</v>
      </c>
      <c r="G128" s="53" t="str">
        <f>IFERROR(HLOOKUP($B128,FUT_6_Educ_Men,Age15_19, FALSE)/(HLOOKUP("Total",FUT_6_Educ_Men,Age15_19, FALSE)-HLOOKUP("Not applicable",FUT_6_Educ_Men,Age15_19, FALSE)),":")</f>
        <v>:</v>
      </c>
      <c r="H128" s="54" t="str">
        <f>IFERROR(HLOOKUP($B128,FUT_6_Educ_Women,Age15_19, FALSE)/(HLOOKUP("Total",FUT_6_Educ_Women,Age15_19, FALSE)-HLOOKUP("Not applicable",FUT_6_Educ_Women,Age15_19, FALSE)),":")</f>
        <v>:</v>
      </c>
      <c r="I128" s="52" t="str">
        <f>IFERROR(HLOOKUP($B128,FUT_6_Educ_Tot,Age20_24, FALSE)/(HLOOKUP("Total",FUT_6_Educ_Tot,Age20_24, FALSE)-HLOOKUP("Not applicable",FUT_6_Educ_Tot,Age20_24, FALSE)),":")</f>
        <v>:</v>
      </c>
      <c r="J128" s="53" t="str">
        <f>IFERROR(HLOOKUP($B128,FUT_6_Educ_Men,Age20_24, FALSE)/(HLOOKUP("Total",FUT_6_Educ_Men,Age20_24, FALSE)-HLOOKUP("Not applicable",FUT_6_Educ_Men,Age20_24, FALSE)),":")</f>
        <v>:</v>
      </c>
      <c r="K128" s="54" t="str">
        <f>IFERROR(HLOOKUP($B128,FUT_6_Educ_Women,Age20_24, FALSE)/(HLOOKUP("Total",FUT_6_Educ_Women,Age20_24, FALSE)-HLOOKUP("Not applicable",FUT_6_Educ_Women,Age20_24, FALSE)),":")</f>
        <v>:</v>
      </c>
      <c r="L128" s="52" t="str">
        <f>IFERROR(HLOOKUP($B128,FUT_6_Educ_Tot,Age25_29, FALSE)/(HLOOKUP("Total",FUT_6_Educ_Tot,Age25_29, FALSE)-HLOOKUP("Not applicable",FUT_6_Educ_Tot,Age25_29, FALSE)),":")</f>
        <v>:</v>
      </c>
      <c r="M128" s="53" t="str">
        <f>IFERROR(HLOOKUP($B128,FUT_6_Educ_Men,Age25_29, FALSE)/(HLOOKUP("Total",FUT_6_Educ_Men,Age25_29, FALSE)-HLOOKUP("Not applicable",FUT_6_Educ_Men,Age25_29, FALSE)),":")</f>
        <v>:</v>
      </c>
      <c r="N128" s="54" t="str">
        <f>IFERROR(HLOOKUP($B128,FUT_6_Educ_Women,Age25_29, FALSE)/(HLOOKUP("Total",FUT_6_Educ_Women,Age25_29, FALSE)-HLOOKUP("Not applicable",FUT_6_Educ_Women,Age25_29, FALSE)),":")</f>
        <v>:</v>
      </c>
    </row>
    <row r="129" spans="1:14" ht="16" thickBot="1" x14ac:dyDescent="0.25">
      <c r="A129" s="104" t="s">
        <v>21</v>
      </c>
      <c r="B129" s="105"/>
      <c r="C129" s="106" t="str">
        <f>IFERROR(HLOOKUP($A129,FUT_6_Educ_Tot,Age15_29, FALSE)/(HLOOKUP("Total",FUT_6_Educ_Tot,Age15_29, FALSE)-HLOOKUP("Not applicable",FUT_6_Educ_Tot,Age15_29, FALSE)),":")</f>
        <v>:</v>
      </c>
      <c r="D129" s="107" t="str">
        <f>IFERROR(HLOOKUP($A129,FUT_6_Educ_Men,Age15_29, FALSE)/(HLOOKUP("Total",FUT_6_Educ_Men,Age15_29, FALSE)-HLOOKUP("Not applicable",FUT_6_Educ_Men,Age15_29, FALSE)),":")</f>
        <v>:</v>
      </c>
      <c r="E129" s="108" t="str">
        <f>IFERROR(HLOOKUP($A129,FUT_6_Educ_Women,Age15_29, FALSE)/(HLOOKUP("Total",FUT_6_Educ_Women,Age15_29, FALSE)-HLOOKUP("Not applicable",FUT_6_Educ_Women,Age15_29, FALSE)),":")</f>
        <v>:</v>
      </c>
      <c r="F129" s="106" t="str">
        <f>IFERROR(HLOOKUP($A129,FUT_6_Educ_Tot,Age15_19, FALSE)/(HLOOKUP("Total",FUT_6_Educ_Tot,Age15_19, FALSE)-HLOOKUP("Not applicable",FUT_6_Educ_Tot,Age15_19, FALSE)),":")</f>
        <v>:</v>
      </c>
      <c r="G129" s="107" t="str">
        <f>IFERROR(HLOOKUP($A129,FUT_6_Educ_Men,Age15_19, FALSE)/(HLOOKUP("Total",FUT_6_Educ_Men,Age15_19, FALSE)-HLOOKUP("Not applicable",FUT_6_Educ_Men,Age15_19, FALSE)),":")</f>
        <v>:</v>
      </c>
      <c r="H129" s="108" t="str">
        <f>IFERROR(HLOOKUP($A129,FUT_6_Educ_Women,Age15_19, FALSE)/(HLOOKUP("Total",FUT_6_Educ_Women,Age15_19, FALSE)-HLOOKUP("Not applicable",FUT_6_Educ_Women,Age15_19, FALSE)),":")</f>
        <v>:</v>
      </c>
      <c r="I129" s="106" t="str">
        <f>IFERROR(HLOOKUP($A129,FUT_6_Educ_Tot,Age20_24, FALSE)/(HLOOKUP("Total",FUT_6_Educ_Tot,Age20_24, FALSE)-HLOOKUP("Not applicable",FUT_6_Educ_Tot,Age20_24, FALSE)),":")</f>
        <v>:</v>
      </c>
      <c r="J129" s="107" t="str">
        <f>IFERROR(HLOOKUP($A129,FUT_6_Educ_Men,Age20_24, FALSE)/(HLOOKUP("Total",FUT_6_Educ_Men,Age20_24, FALSE)-HLOOKUP("Not applicable",FUT_6_Educ_Men,Age20_24, FALSE)),":")</f>
        <v>:</v>
      </c>
      <c r="K129" s="108" t="str">
        <f>IFERROR(HLOOKUP($A129,FUT_6_Educ_Women,Age20_24, FALSE)/(HLOOKUP("Total",FUT_6_Educ_Women,Age20_24, FALSE)-HLOOKUP("Not applicable",FUT_6_Educ_Women,Age20_24, FALSE)),":")</f>
        <v>:</v>
      </c>
      <c r="L129" s="106" t="str">
        <f>IFERROR(HLOOKUP($A129,FUT_6_Educ_Tot,Age25_29, FALSE)/(HLOOKUP("Total",FUT_6_Educ_Tot,Age25_29, FALSE)-HLOOKUP("Not applicable",FUT_6_Educ_Tot,Age25_29, FALSE)),":")</f>
        <v>:</v>
      </c>
      <c r="M129" s="107" t="str">
        <f>IFERROR(HLOOKUP($A129,FUT_6_Educ_Men,Age25_29, FALSE)/(HLOOKUP("Total",FUT_6_Educ_Men,Age25_29, FALSE)-HLOOKUP("Not applicable",FUT_6_Educ_Men,Age25_29, FALSE)),":")</f>
        <v>:</v>
      </c>
      <c r="N129" s="108" t="str">
        <f>IFERROR(HLOOKUP($A129,FUT_6_Educ_Women,Age25_29, FALSE)/(HLOOKUP("Total",FUT_6_Educ_Women,Age25_29, FALSE)-HLOOKUP("Not applicable",FUT_6_Educ_Women,Age25_29, FALSE)),":")</f>
        <v>:</v>
      </c>
    </row>
    <row r="130" spans="1:14" ht="17" thickTop="1" thickBot="1" x14ac:dyDescent="0.25"/>
    <row r="131" spans="1:14" ht="15.75" customHeight="1" thickTop="1" x14ac:dyDescent="0.2">
      <c r="A131" s="352" t="s">
        <v>189</v>
      </c>
      <c r="B131" s="353"/>
      <c r="C131" s="347" t="s">
        <v>228</v>
      </c>
      <c r="D131" s="348"/>
      <c r="E131" s="349"/>
      <c r="F131" s="347" t="s">
        <v>11</v>
      </c>
      <c r="G131" s="348"/>
      <c r="H131" s="349"/>
      <c r="I131" s="356" t="s">
        <v>13</v>
      </c>
      <c r="J131" s="348"/>
      <c r="K131" s="349"/>
      <c r="L131" s="347" t="s">
        <v>227</v>
      </c>
      <c r="M131" s="348"/>
      <c r="N131" s="350"/>
    </row>
    <row r="132" spans="1:14" x14ac:dyDescent="0.2">
      <c r="A132" s="354"/>
      <c r="B132" s="355"/>
      <c r="C132" s="49" t="s">
        <v>3</v>
      </c>
      <c r="D132" s="47" t="s">
        <v>4</v>
      </c>
      <c r="E132" s="48" t="s">
        <v>5</v>
      </c>
      <c r="F132" s="49" t="s">
        <v>3</v>
      </c>
      <c r="G132" s="47" t="s">
        <v>4</v>
      </c>
      <c r="H132" s="48" t="s">
        <v>5</v>
      </c>
      <c r="I132" s="46" t="s">
        <v>3</v>
      </c>
      <c r="J132" s="47" t="s">
        <v>4</v>
      </c>
      <c r="K132" s="48" t="s">
        <v>5</v>
      </c>
      <c r="L132" s="49" t="s">
        <v>3</v>
      </c>
      <c r="M132" s="47" t="s">
        <v>4</v>
      </c>
      <c r="N132" s="164" t="s">
        <v>5</v>
      </c>
    </row>
    <row r="133" spans="1:14" x14ac:dyDescent="0.2">
      <c r="A133" s="98" t="s">
        <v>185</v>
      </c>
      <c r="B133" s="99"/>
      <c r="C133" s="100" t="str">
        <f t="shared" ref="C133:E133" si="48">IF(COUNT(C134:C137)&gt;0,SUM(C134:C137),":")</f>
        <v>:</v>
      </c>
      <c r="D133" s="101" t="str">
        <f t="shared" si="48"/>
        <v>:</v>
      </c>
      <c r="E133" s="102" t="str">
        <f t="shared" si="48"/>
        <v>:</v>
      </c>
      <c r="F133" s="100" t="str">
        <f t="shared" ref="F133:K133" si="49">IF(COUNT(F134:F137)&gt;0,SUM(F134:F137),":")</f>
        <v>:</v>
      </c>
      <c r="G133" s="101" t="str">
        <f t="shared" si="49"/>
        <v>:</v>
      </c>
      <c r="H133" s="102" t="str">
        <f t="shared" si="49"/>
        <v>:</v>
      </c>
      <c r="I133" s="100" t="str">
        <f t="shared" si="49"/>
        <v>:</v>
      </c>
      <c r="J133" s="101" t="str">
        <f t="shared" si="49"/>
        <v>:</v>
      </c>
      <c r="K133" s="102" t="str">
        <f t="shared" si="49"/>
        <v>:</v>
      </c>
      <c r="L133" s="100" t="str">
        <f t="shared" ref="L133:N133" si="50">IF(COUNT(L134:L137)&gt;0,SUM(L134:L137),":")</f>
        <v>:</v>
      </c>
      <c r="M133" s="101" t="str">
        <f t="shared" si="50"/>
        <v>:</v>
      </c>
      <c r="N133" s="102" t="str">
        <f t="shared" si="50"/>
        <v>:</v>
      </c>
    </row>
    <row r="134" spans="1:14" outlineLevel="1" x14ac:dyDescent="0.2">
      <c r="A134" s="50"/>
      <c r="B134" s="60" t="s">
        <v>15</v>
      </c>
      <c r="C134" s="52" t="str">
        <f>IFERROR(HLOOKUP($B134,FUT_12_Educ_Tot,Age15_29, FALSE)/(HLOOKUP("Total",FUT_12_Educ_Tot,Age15_29, FALSE)-HLOOKUP("Not applicable",FUT_12_Educ_Tot,Age15_29, FALSE)),":")</f>
        <v>:</v>
      </c>
      <c r="D134" s="53" t="str">
        <f>IFERROR(HLOOKUP($B134,FUT_12_Educ_Men,Age15_29, FALSE)/(HLOOKUP("Total",FUT_12_Educ_Men,Age15_29, FALSE)-HLOOKUP("Not applicable",FUT_12_Educ_Men,Age15_29, FALSE)),":")</f>
        <v>:</v>
      </c>
      <c r="E134" s="54" t="str">
        <f>IFERROR(HLOOKUP($B134,FUT_12_Educ_Women,Age15_29, FALSE)/(HLOOKUP("Total",FUT_12_Educ_Women,Age15_29, FALSE)-HLOOKUP("Not applicable",FUT_12_Educ_Women,Age15_29, FALSE)),":")</f>
        <v>:</v>
      </c>
      <c r="F134" s="52" t="str">
        <f>IFERROR(HLOOKUP($B134,FUT_12_Educ_Tot,Age15_19, FALSE)/(HLOOKUP("Total",FUT_12_Educ_Tot,Age15_19, FALSE)-HLOOKUP("Not applicable",FUT_12_Educ_Tot,Age15_19, FALSE)),":")</f>
        <v>:</v>
      </c>
      <c r="G134" s="53" t="str">
        <f>IFERROR(HLOOKUP($B134,FUT_12_Educ_Men,Age15_19, FALSE)/(HLOOKUP("Total",FUT_12_Educ_Men,Age15_19, FALSE)-HLOOKUP("Not applicable",FUT_12_Educ_Men,Age15_19, FALSE)),":")</f>
        <v>:</v>
      </c>
      <c r="H134" s="54" t="str">
        <f>IFERROR(HLOOKUP($B134,FUT_12_Educ_Women,Age15_19, FALSE)/(HLOOKUP("Total",FUT_12_Educ_Women,Age15_19, FALSE)-HLOOKUP("Not applicable",FUT_12_Educ_Women,Age15_19, FALSE)),":")</f>
        <v>:</v>
      </c>
      <c r="I134" s="52" t="str">
        <f>IFERROR(HLOOKUP($B134,FUT_12_Educ_Tot,Age20_24, FALSE)/(HLOOKUP("Total",FUT_12_Educ_Tot,Age20_24, FALSE)-HLOOKUP("Not applicable",FUT_12_Educ_Tot,Age20_24, FALSE)),":")</f>
        <v>:</v>
      </c>
      <c r="J134" s="53" t="str">
        <f>IFERROR(HLOOKUP($B134,FUT_12_Educ_Men,Age20_24, FALSE)/(HLOOKUP("Total",FUT_12_Educ_Men,Age20_24, FALSE)-HLOOKUP("Not applicable",FUT_12_Educ_Men,Age20_24, FALSE)),":")</f>
        <v>:</v>
      </c>
      <c r="K134" s="54" t="str">
        <f>IFERROR(HLOOKUP($B134,FUT_12_Educ_Women,Age20_24, FALSE)/(HLOOKUP("Total",FUT_12_Educ_Women,Age20_24, FALSE)-HLOOKUP("Not applicable",FUT_12_Educ_Women,Age20_24, FALSE)),":")</f>
        <v>:</v>
      </c>
      <c r="L134" s="52" t="str">
        <f>IFERROR(HLOOKUP($B134,FUT_12_Educ_Tot,Age25_29, FALSE)/(HLOOKUP("Total",FUT_12_Educ_Tot,Age25_29, FALSE)-HLOOKUP("Not applicable",FUT_12_Educ_Tot,Age25_29, FALSE)),":")</f>
        <v>:</v>
      </c>
      <c r="M134" s="53" t="str">
        <f>IFERROR(HLOOKUP($B134,FUT_12_Educ_Men,Age25_29, FALSE)/(HLOOKUP("Total",FUT_12_Educ_Men,Age25_29, FALSE)-HLOOKUP("Not applicable",FUT_12_Educ_Men,Age25_29, FALSE)),":")</f>
        <v>:</v>
      </c>
      <c r="N134" s="54" t="str">
        <f>IFERROR(HLOOKUP($B134,FUT_12_Educ_Women,Age25_29, FALSE)/(HLOOKUP("Total",FUT_12_Educ_Women,Age25_29, FALSE)-HLOOKUP("Not applicable",FUT_12_Educ_Women,Age25_29, FALSE)),":")</f>
        <v>:</v>
      </c>
    </row>
    <row r="135" spans="1:14" outlineLevel="1" x14ac:dyDescent="0.2">
      <c r="A135" s="50"/>
      <c r="B135" s="60" t="s">
        <v>16</v>
      </c>
      <c r="C135" s="52" t="str">
        <f>IFERROR(HLOOKUP($B135,FUT_12_Educ_Tot,Age15_29, FALSE)/(HLOOKUP("Total",FUT_12_Educ_Tot,Age15_29, FALSE)-HLOOKUP("Not applicable",FUT_12_Educ_Tot,Age15_29, FALSE)),":")</f>
        <v>:</v>
      </c>
      <c r="D135" s="53" t="str">
        <f>IFERROR(HLOOKUP($B135,FUT_12_Educ_Men,Age15_29, FALSE)/(HLOOKUP("Total",FUT_12_Educ_Men,Age15_29, FALSE)-HLOOKUP("Not applicable",FUT_12_Educ_Men,Age15_29, FALSE)),":")</f>
        <v>:</v>
      </c>
      <c r="E135" s="54" t="str">
        <f>IFERROR(HLOOKUP($B135,FUT_12_Educ_Women,Age15_29, FALSE)/(HLOOKUP("Total",FUT_12_Educ_Women,Age15_29, FALSE)-HLOOKUP("Not applicable",FUT_12_Educ_Women,Age15_29, FALSE)),":")</f>
        <v>:</v>
      </c>
      <c r="F135" s="52" t="str">
        <f>IFERROR(HLOOKUP($B135,FUT_12_Educ_Tot,Age15_19, FALSE)/(HLOOKUP("Total",FUT_12_Educ_Tot,Age15_19, FALSE)-HLOOKUP("Not applicable",FUT_12_Educ_Tot,Age15_19, FALSE)),":")</f>
        <v>:</v>
      </c>
      <c r="G135" s="53" t="str">
        <f>IFERROR(HLOOKUP($B135,FUT_12_Educ_Men,Age15_19, FALSE)/(HLOOKUP("Total",FUT_12_Educ_Men,Age15_19, FALSE)-HLOOKUP("Not applicable",FUT_12_Educ_Men,Age15_19, FALSE)),":")</f>
        <v>:</v>
      </c>
      <c r="H135" s="54" t="str">
        <f>IFERROR(HLOOKUP($B135,FUT_12_Educ_Women,Age15_19, FALSE)/(HLOOKUP("Total",FUT_12_Educ_Women,Age15_19, FALSE)-HLOOKUP("Not applicable",FUT_12_Educ_Women,Age15_19, FALSE)),":")</f>
        <v>:</v>
      </c>
      <c r="I135" s="52" t="str">
        <f>IFERROR(HLOOKUP($B135,FUT_12_Educ_Tot,Age20_24, FALSE)/(HLOOKUP("Total",FUT_12_Educ_Tot,Age20_24, FALSE)-HLOOKUP("Not applicable",FUT_12_Educ_Tot,Age20_24, FALSE)),":")</f>
        <v>:</v>
      </c>
      <c r="J135" s="53" t="str">
        <f>IFERROR(HLOOKUP($B135,FUT_12_Educ_Men,Age20_24, FALSE)/(HLOOKUP("Total",FUT_12_Educ_Men,Age20_24, FALSE)-HLOOKUP("Not applicable",FUT_12_Educ_Men,Age20_24, FALSE)),":")</f>
        <v>:</v>
      </c>
      <c r="K135" s="54" t="str">
        <f>IFERROR(HLOOKUP($B135,FUT_12_Educ_Women,Age20_24, FALSE)/(HLOOKUP("Total",FUT_12_Educ_Women,Age20_24, FALSE)-HLOOKUP("Not applicable",FUT_12_Educ_Women,Age20_24, FALSE)),":")</f>
        <v>:</v>
      </c>
      <c r="L135" s="52" t="str">
        <f>IFERROR(HLOOKUP($B135,FUT_12_Educ_Tot,Age25_29, FALSE)/(HLOOKUP("Total",FUT_12_Educ_Tot,Age25_29, FALSE)-HLOOKUP("Not applicable",FUT_12_Educ_Tot,Age25_29, FALSE)),":")</f>
        <v>:</v>
      </c>
      <c r="M135" s="53" t="str">
        <f>IFERROR(HLOOKUP($B135,FUT_12_Educ_Men,Age25_29, FALSE)/(HLOOKUP("Total",FUT_12_Educ_Men,Age25_29, FALSE)-HLOOKUP("Not applicable",FUT_12_Educ_Men,Age25_29, FALSE)),":")</f>
        <v>:</v>
      </c>
      <c r="N135" s="54" t="str">
        <f>IFERROR(HLOOKUP($B135,FUT_12_Educ_Women,Age25_29, FALSE)/(HLOOKUP("Total",FUT_12_Educ_Women,Age25_29, FALSE)-HLOOKUP("Not applicable",FUT_12_Educ_Women,Age25_29, FALSE)),":")</f>
        <v>:</v>
      </c>
    </row>
    <row r="136" spans="1:14" outlineLevel="1" x14ac:dyDescent="0.2">
      <c r="A136" s="50"/>
      <c r="B136" s="60" t="s">
        <v>17</v>
      </c>
      <c r="C136" s="52" t="str">
        <f>IFERROR(HLOOKUP($B136,FUT_12_Educ_Tot,Age15_29, FALSE)/(HLOOKUP("Total",FUT_12_Educ_Tot,Age15_29, FALSE)-HLOOKUP("Not applicable",FUT_12_Educ_Tot,Age15_29, FALSE)),":")</f>
        <v>:</v>
      </c>
      <c r="D136" s="53" t="str">
        <f>IFERROR(HLOOKUP($B136,FUT_12_Educ_Men,Age15_29, FALSE)/(HLOOKUP("Total",FUT_12_Educ_Men,Age15_29, FALSE)-HLOOKUP("Not applicable",FUT_12_Educ_Men,Age15_29, FALSE)),":")</f>
        <v>:</v>
      </c>
      <c r="E136" s="54" t="str">
        <f>IFERROR(HLOOKUP($B136,FUT_12_Educ_Women,Age15_29, FALSE)/(HLOOKUP("Total",FUT_12_Educ_Women,Age15_29, FALSE)-HLOOKUP("Not applicable",FUT_12_Educ_Women,Age15_29, FALSE)),":")</f>
        <v>:</v>
      </c>
      <c r="F136" s="52" t="str">
        <f>IFERROR(HLOOKUP($B136,FUT_12_Educ_Tot,Age15_19, FALSE)/(HLOOKUP("Total",FUT_12_Educ_Tot,Age15_19, FALSE)-HLOOKUP("Not applicable",FUT_12_Educ_Tot,Age15_19, FALSE)),":")</f>
        <v>:</v>
      </c>
      <c r="G136" s="53" t="str">
        <f>IFERROR(HLOOKUP($B136,FUT_12_Educ_Men,Age15_19, FALSE)/(HLOOKUP("Total",FUT_12_Educ_Men,Age15_19, FALSE)-HLOOKUP("Not applicable",FUT_12_Educ_Men,Age15_19, FALSE)),":")</f>
        <v>:</v>
      </c>
      <c r="H136" s="54" t="str">
        <f>IFERROR(HLOOKUP($B136,FUT_12_Educ_Women,Age15_19, FALSE)/(HLOOKUP("Total",FUT_12_Educ_Women,Age15_19, FALSE)-HLOOKUP("Not applicable",FUT_12_Educ_Women,Age15_19, FALSE)),":")</f>
        <v>:</v>
      </c>
      <c r="I136" s="52" t="str">
        <f>IFERROR(HLOOKUP($B136,FUT_12_Educ_Tot,Age20_24, FALSE)/(HLOOKUP("Total",FUT_12_Educ_Tot,Age20_24, FALSE)-HLOOKUP("Not applicable",FUT_12_Educ_Tot,Age20_24, FALSE)),":")</f>
        <v>:</v>
      </c>
      <c r="J136" s="53" t="str">
        <f>IFERROR(HLOOKUP($B136,FUT_12_Educ_Men,Age20_24, FALSE)/(HLOOKUP("Total",FUT_12_Educ_Men,Age20_24, FALSE)-HLOOKUP("Not applicable",FUT_12_Educ_Men,Age20_24, FALSE)),":")</f>
        <v>:</v>
      </c>
      <c r="K136" s="54" t="str">
        <f>IFERROR(HLOOKUP($B136,FUT_12_Educ_Women,Age20_24, FALSE)/(HLOOKUP("Total",FUT_12_Educ_Women,Age20_24, FALSE)-HLOOKUP("Not applicable",FUT_12_Educ_Women,Age20_24, FALSE)),":")</f>
        <v>:</v>
      </c>
      <c r="L136" s="52" t="str">
        <f>IFERROR(HLOOKUP($B136,FUT_12_Educ_Tot,Age25_29, FALSE)/(HLOOKUP("Total",FUT_12_Educ_Tot,Age25_29, FALSE)-HLOOKUP("Not applicable",FUT_12_Educ_Tot,Age25_29, FALSE)),":")</f>
        <v>:</v>
      </c>
      <c r="M136" s="53" t="str">
        <f>IFERROR(HLOOKUP($B136,FUT_12_Educ_Men,Age25_29, FALSE)/(HLOOKUP("Total",FUT_12_Educ_Men,Age25_29, FALSE)-HLOOKUP("Not applicable",FUT_12_Educ_Men,Age25_29, FALSE)),":")</f>
        <v>:</v>
      </c>
      <c r="N136" s="54" t="str">
        <f>IFERROR(HLOOKUP($B136,FUT_12_Educ_Women,Age25_29, FALSE)/(HLOOKUP("Total",FUT_12_Educ_Women,Age25_29, FALSE)-HLOOKUP("Not applicable",FUT_12_Educ_Women,Age25_29, FALSE)),":")</f>
        <v>:</v>
      </c>
    </row>
    <row r="137" spans="1:14" outlineLevel="1" x14ac:dyDescent="0.2">
      <c r="A137" s="50"/>
      <c r="B137" s="60" t="s">
        <v>18</v>
      </c>
      <c r="C137" s="52" t="str">
        <f>IFERROR(HLOOKUP($B137,FUT_12_Educ_Tot,Age15_29, FALSE)/(HLOOKUP("Total",FUT_12_Educ_Tot,Age15_29, FALSE)-HLOOKUP("Not applicable",FUT_12_Educ_Tot,Age15_29, FALSE)),":")</f>
        <v>:</v>
      </c>
      <c r="D137" s="53" t="str">
        <f>IFERROR(HLOOKUP($B137,FUT_12_Educ_Men,Age15_29, FALSE)/(HLOOKUP("Total",FUT_12_Educ_Men,Age15_29, FALSE)-HLOOKUP("Not applicable",FUT_12_Educ_Men,Age15_29, FALSE)),":")</f>
        <v>:</v>
      </c>
      <c r="E137" s="54" t="str">
        <f>IFERROR(HLOOKUP($B137,FUT_12_Educ_Women,Age15_29, FALSE)/(HLOOKUP("Total",FUT_12_Educ_Women,Age15_29, FALSE)-HLOOKUP("Not applicable",FUT_12_Educ_Women,Age15_29, FALSE)),":")</f>
        <v>:</v>
      </c>
      <c r="F137" s="52" t="str">
        <f>IFERROR(HLOOKUP($B137,FUT_12_Educ_Tot,Age15_19, FALSE)/(HLOOKUP("Total",FUT_12_Educ_Tot,Age15_19, FALSE)-HLOOKUP("Not applicable",FUT_12_Educ_Tot,Age15_19, FALSE)),":")</f>
        <v>:</v>
      </c>
      <c r="G137" s="53" t="str">
        <f>IFERROR(HLOOKUP($B137,FUT_12_Educ_Men,Age15_19, FALSE)/(HLOOKUP("Total",FUT_12_Educ_Men,Age15_19, FALSE)-HLOOKUP("Not applicable",FUT_12_Educ_Men,Age15_19, FALSE)),":")</f>
        <v>:</v>
      </c>
      <c r="H137" s="54" t="str">
        <f>IFERROR(HLOOKUP($B137,FUT_12_Educ_Women,Age15_19, FALSE)/(HLOOKUP("Total",FUT_12_Educ_Women,Age15_19, FALSE)-HLOOKUP("Not applicable",FUT_12_Educ_Women,Age15_19, FALSE)),":")</f>
        <v>:</v>
      </c>
      <c r="I137" s="52" t="str">
        <f>IFERROR(HLOOKUP($B137,FUT_12_Educ_Tot,Age20_24, FALSE)/(HLOOKUP("Total",FUT_12_Educ_Tot,Age20_24, FALSE)-HLOOKUP("Not applicable",FUT_12_Educ_Tot,Age20_24, FALSE)),":")</f>
        <v>:</v>
      </c>
      <c r="J137" s="53" t="str">
        <f>IFERROR(HLOOKUP($B137,FUT_12_Educ_Men,Age20_24, FALSE)/(HLOOKUP("Total",FUT_12_Educ_Men,Age20_24, FALSE)-HLOOKUP("Not applicable",FUT_12_Educ_Men,Age20_24, FALSE)),":")</f>
        <v>:</v>
      </c>
      <c r="K137" s="54" t="str">
        <f>IFERROR(HLOOKUP($B137,FUT_12_Educ_Women,Age20_24, FALSE)/(HLOOKUP("Total",FUT_12_Educ_Women,Age20_24, FALSE)-HLOOKUP("Not applicable",FUT_12_Educ_Women,Age20_24, FALSE)),":")</f>
        <v>:</v>
      </c>
      <c r="L137" s="52" t="str">
        <f>IFERROR(HLOOKUP($B137,FUT_12_Educ_Tot,Age25_29, FALSE)/(HLOOKUP("Total",FUT_12_Educ_Tot,Age25_29, FALSE)-HLOOKUP("Not applicable",FUT_12_Educ_Tot,Age25_29, FALSE)),":")</f>
        <v>:</v>
      </c>
      <c r="M137" s="53" t="str">
        <f>IFERROR(HLOOKUP($B137,FUT_12_Educ_Men,Age25_29, FALSE)/(HLOOKUP("Total",FUT_12_Educ_Men,Age25_29, FALSE)-HLOOKUP("Not applicable",FUT_12_Educ_Men,Age25_29, FALSE)),":")</f>
        <v>:</v>
      </c>
      <c r="N137" s="54" t="str">
        <f>IFERROR(HLOOKUP($B137,FUT_12_Educ_Women,Age25_29, FALSE)/(HLOOKUP("Total",FUT_12_Educ_Women,Age25_29, FALSE)-HLOOKUP("Not applicable",FUT_12_Educ_Women,Age25_29, FALSE)),":")</f>
        <v>:</v>
      </c>
    </row>
    <row r="138" spans="1:14" x14ac:dyDescent="0.2">
      <c r="A138" s="98" t="s">
        <v>186</v>
      </c>
      <c r="B138" s="103"/>
      <c r="C138" s="100" t="str">
        <f t="shared" ref="C138:E138" si="51">IF(COUNT(C139:C140)&gt;0,SUM(C139:C140),":")</f>
        <v>:</v>
      </c>
      <c r="D138" s="101" t="str">
        <f t="shared" si="51"/>
        <v>:</v>
      </c>
      <c r="E138" s="102" t="str">
        <f t="shared" si="51"/>
        <v>:</v>
      </c>
      <c r="F138" s="100" t="str">
        <f t="shared" ref="F138:K138" si="52">IF(COUNT(F139:F140)&gt;0,SUM(F139:F140),":")</f>
        <v>:</v>
      </c>
      <c r="G138" s="101" t="str">
        <f t="shared" si="52"/>
        <v>:</v>
      </c>
      <c r="H138" s="102" t="str">
        <f t="shared" si="52"/>
        <v>:</v>
      </c>
      <c r="I138" s="100" t="str">
        <f t="shared" si="52"/>
        <v>:</v>
      </c>
      <c r="J138" s="101" t="str">
        <f t="shared" si="52"/>
        <v>:</v>
      </c>
      <c r="K138" s="102" t="str">
        <f t="shared" si="52"/>
        <v>:</v>
      </c>
      <c r="L138" s="100" t="str">
        <f t="shared" ref="L138:N138" si="53">IF(COUNT(L139:L140)&gt;0,SUM(L139:L140),":")</f>
        <v>:</v>
      </c>
      <c r="M138" s="101" t="str">
        <f t="shared" si="53"/>
        <v>:</v>
      </c>
      <c r="N138" s="102" t="str">
        <f t="shared" si="53"/>
        <v>:</v>
      </c>
    </row>
    <row r="139" spans="1:14" outlineLevel="1" x14ac:dyDescent="0.2">
      <c r="A139" s="50"/>
      <c r="B139" s="60" t="s">
        <v>20</v>
      </c>
      <c r="C139" s="52" t="str">
        <f>IFERROR(HLOOKUP($B139,FUT_12_Educ_Tot,Age15_29, FALSE)/(HLOOKUP("Total",FUT_12_Educ_Tot,Age15_29, FALSE)-HLOOKUP("Not applicable",FUT_12_Educ_Tot,Age15_29, FALSE)),":")</f>
        <v>:</v>
      </c>
      <c r="D139" s="53" t="str">
        <f>IFERROR(HLOOKUP($B139,FUT_12_Educ_Men,Age15_29, FALSE)/(HLOOKUP("Total",FUT_12_Educ_Men,Age15_29, FALSE)-HLOOKUP("Not applicable",FUT_12_Educ_Men,Age15_29, FALSE)),":")</f>
        <v>:</v>
      </c>
      <c r="E139" s="54" t="str">
        <f>IFERROR(HLOOKUP($B139,FUT_12_Educ_Women,Age15_29, FALSE)/(HLOOKUP("Total",FUT_12_Educ_Women,Age15_29, FALSE)-HLOOKUP("Not applicable",FUT_12_Educ_Women,Age15_29, FALSE)),":")</f>
        <v>:</v>
      </c>
      <c r="F139" s="52" t="str">
        <f>IFERROR(HLOOKUP($B139,FUT_12_Educ_Tot,Age15_19, FALSE)/(HLOOKUP("Total",FUT_12_Educ_Tot,Age15_19, FALSE)-HLOOKUP("Not applicable",FUT_12_Educ_Tot,Age15_19, FALSE)),":")</f>
        <v>:</v>
      </c>
      <c r="G139" s="53" t="str">
        <f>IFERROR(HLOOKUP($B139,FUT_12_Educ_Men,Age15_19, FALSE)/(HLOOKUP("Total",FUT_12_Educ_Men,Age15_19, FALSE)-HLOOKUP("Not applicable",FUT_12_Educ_Men,Age15_19, FALSE)),":")</f>
        <v>:</v>
      </c>
      <c r="H139" s="54" t="str">
        <f>IFERROR(HLOOKUP($B139,FUT_12_Educ_Women,Age15_19, FALSE)/(HLOOKUP("Total",FUT_12_Educ_Women,Age15_19, FALSE)-HLOOKUP("Not applicable",FUT_12_Educ_Women,Age15_19, FALSE)),":")</f>
        <v>:</v>
      </c>
      <c r="I139" s="52" t="str">
        <f>IFERROR(HLOOKUP($B139,FUT_12_Educ_Tot,Age20_24, FALSE)/(HLOOKUP("Total",FUT_12_Educ_Tot,Age20_24, FALSE)-HLOOKUP("Not applicable",FUT_12_Educ_Tot,Age20_24, FALSE)),":")</f>
        <v>:</v>
      </c>
      <c r="J139" s="53" t="str">
        <f>IFERROR(HLOOKUP($B139,FUT_12_Educ_Men,Age20_24, FALSE)/(HLOOKUP("Total",FUT_12_Educ_Men,Age20_24, FALSE)-HLOOKUP("Not applicable",FUT_12_Educ_Men,Age20_24, FALSE)),":")</f>
        <v>:</v>
      </c>
      <c r="K139" s="54" t="str">
        <f>IFERROR(HLOOKUP($B139,FUT_12_Educ_Women,Age20_24, FALSE)/(HLOOKUP("Total",FUT_12_Educ_Women,Age20_24, FALSE)-HLOOKUP("Not applicable",FUT_12_Educ_Women,Age20_24, FALSE)),":")</f>
        <v>:</v>
      </c>
      <c r="L139" s="52" t="str">
        <f>IFERROR(HLOOKUP($B139,FUT_12_Educ_Tot,Age25_29, FALSE)/(HLOOKUP("Total",FUT_12_Educ_Tot,Age25_29, FALSE)-HLOOKUP("Not applicable",FUT_12_Educ_Tot,Age25_29, FALSE)),":")</f>
        <v>:</v>
      </c>
      <c r="M139" s="53" t="str">
        <f>IFERROR(HLOOKUP($B139,FUT_12_Educ_Men,Age25_29, FALSE)/(HLOOKUP("Total",FUT_12_Educ_Men,Age25_29, FALSE)-HLOOKUP("Not applicable",FUT_12_Educ_Men,Age25_29, FALSE)),":")</f>
        <v>:</v>
      </c>
      <c r="N139" s="54" t="str">
        <f>IFERROR(HLOOKUP($B139,FUT_12_Educ_Women,Age25_29, FALSE)/(HLOOKUP("Total",FUT_12_Educ_Women,Age25_29, FALSE)-HLOOKUP("Not applicable",FUT_12_Educ_Women,Age25_29, FALSE)),":")</f>
        <v>:</v>
      </c>
    </row>
    <row r="140" spans="1:14" outlineLevel="1" x14ac:dyDescent="0.2">
      <c r="A140" s="50"/>
      <c r="B140" s="60" t="s">
        <v>91</v>
      </c>
      <c r="C140" s="52" t="str">
        <f>IFERROR(HLOOKUP($B140,FUT_12_Educ_Tot,Age15_29, FALSE)/(HLOOKUP("Total",FUT_12_Educ_Tot,Age15_29, FALSE)-HLOOKUP("Not applicable",FUT_12_Educ_Tot,Age15_29, FALSE)),":")</f>
        <v>:</v>
      </c>
      <c r="D140" s="53" t="str">
        <f>IFERROR(HLOOKUP($B140,FUT_12_Educ_Men,Age15_29, FALSE)/(HLOOKUP("Total",FUT_12_Educ_Men,Age15_29, FALSE)-HLOOKUP("Not applicable",FUT_12_Educ_Men,Age15_29, FALSE)),":")</f>
        <v>:</v>
      </c>
      <c r="E140" s="54" t="str">
        <f>IFERROR(HLOOKUP($B140,FUT_12_Educ_Women,Age15_29, FALSE)/(HLOOKUP("Total",FUT_12_Educ_Women,Age15_29, FALSE)-HLOOKUP("Not applicable",FUT_12_Educ_Women,Age15_29, FALSE)),":")</f>
        <v>:</v>
      </c>
      <c r="F140" s="52" t="str">
        <f>IFERROR(HLOOKUP($B140,FUT_12_Educ_Tot,Age15_19, FALSE)/(HLOOKUP("Total",FUT_12_Educ_Tot,Age15_19, FALSE)-HLOOKUP("Not applicable",FUT_12_Educ_Tot,Age15_19, FALSE)),":")</f>
        <v>:</v>
      </c>
      <c r="G140" s="53" t="str">
        <f>IFERROR(HLOOKUP($B140,FUT_12_Educ_Men,Age15_19, FALSE)/(HLOOKUP("Total",FUT_12_Educ_Men,Age15_19, FALSE)-HLOOKUP("Not applicable",FUT_12_Educ_Men,Age15_19, FALSE)),":")</f>
        <v>:</v>
      </c>
      <c r="H140" s="54" t="str">
        <f>IFERROR(HLOOKUP($B140,FUT_12_Educ_Women,Age15_19, FALSE)/(HLOOKUP("Total",FUT_12_Educ_Women,Age15_19, FALSE)-HLOOKUP("Not applicable",FUT_12_Educ_Women,Age15_19, FALSE)),":")</f>
        <v>:</v>
      </c>
      <c r="I140" s="52" t="str">
        <f>IFERROR(HLOOKUP($B140,FUT_12_Educ_Tot,Age20_24, FALSE)/(HLOOKUP("Total",FUT_12_Educ_Tot,Age20_24, FALSE)-HLOOKUP("Not applicable",FUT_12_Educ_Tot,Age20_24, FALSE)),":")</f>
        <v>:</v>
      </c>
      <c r="J140" s="53" t="str">
        <f>IFERROR(HLOOKUP($B140,FUT_12_Educ_Men,Age20_24, FALSE)/(HLOOKUP("Total",FUT_12_Educ_Men,Age20_24, FALSE)-HLOOKUP("Not applicable",FUT_12_Educ_Men,Age20_24, FALSE)),":")</f>
        <v>:</v>
      </c>
      <c r="K140" s="54" t="str">
        <f>IFERROR(HLOOKUP($B140,FUT_12_Educ_Women,Age20_24, FALSE)/(HLOOKUP("Total",FUT_12_Educ_Women,Age20_24, FALSE)-HLOOKUP("Not applicable",FUT_12_Educ_Women,Age20_24, FALSE)),":")</f>
        <v>:</v>
      </c>
      <c r="L140" s="52" t="str">
        <f>IFERROR(HLOOKUP($B140,FUT_12_Educ_Tot,Age25_29, FALSE)/(HLOOKUP("Total",FUT_12_Educ_Tot,Age25_29, FALSE)-HLOOKUP("Not applicable",FUT_12_Educ_Tot,Age25_29, FALSE)),":")</f>
        <v>:</v>
      </c>
      <c r="M140" s="53" t="str">
        <f>IFERROR(HLOOKUP($B140,FUT_12_Educ_Men,Age25_29, FALSE)/(HLOOKUP("Total",FUT_12_Educ_Men,Age25_29, FALSE)-HLOOKUP("Not applicable",FUT_12_Educ_Men,Age25_29, FALSE)),":")</f>
        <v>:</v>
      </c>
      <c r="N140" s="54" t="str">
        <f>IFERROR(HLOOKUP($B140,FUT_12_Educ_Women,Age25_29, FALSE)/(HLOOKUP("Total",FUT_12_Educ_Women,Age25_29, FALSE)-HLOOKUP("Not applicable",FUT_12_Educ_Women,Age25_29, FALSE)),":")</f>
        <v>:</v>
      </c>
    </row>
    <row r="141" spans="1:14" ht="16" thickBot="1" x14ac:dyDescent="0.25">
      <c r="A141" s="104" t="s">
        <v>21</v>
      </c>
      <c r="B141" s="105"/>
      <c r="C141" s="106" t="str">
        <f>IFERROR(HLOOKUP($A141,FUT_12_Educ_Tot,Age15_29, FALSE)/(HLOOKUP("Total",FUT_12_Educ_Tot,Age15_29, FALSE)-HLOOKUP("Not applicable",FUT_12_Educ_Tot,Age15_29, FALSE)),":")</f>
        <v>:</v>
      </c>
      <c r="D141" s="107" t="str">
        <f>IFERROR(HLOOKUP($A141,FUT_12_Educ_Men,Age15_29, FALSE)/(HLOOKUP("Total",FUT_12_Educ_Men,Age15_29, FALSE)-HLOOKUP("Not applicable",FUT_12_Educ_Men,Age15_29, FALSE)),":")</f>
        <v>:</v>
      </c>
      <c r="E141" s="108" t="str">
        <f>IFERROR(HLOOKUP($A141,FUT_12_Educ_Women,Age15_29, FALSE)/(HLOOKUP("Total",FUT_12_Educ_Women,Age15_29, FALSE)-HLOOKUP("Not applicable",FUT_12_Educ_Women,Age15_29, FALSE)),":")</f>
        <v>:</v>
      </c>
      <c r="F141" s="106" t="str">
        <f>IFERROR(HLOOKUP($A141,FUT_12_Educ_Tot,Age15_19, FALSE)/(HLOOKUP("Total",FUT_12_Educ_Tot,Age15_19, FALSE)-HLOOKUP("Not applicable",FUT_12_Educ_Tot,Age15_19, FALSE)),":")</f>
        <v>:</v>
      </c>
      <c r="G141" s="107" t="str">
        <f>IFERROR(HLOOKUP($A141,FUT_12_Educ_Men,Age15_19, FALSE)/(HLOOKUP("Total",FUT_12_Educ_Men,Age15_19, FALSE)-HLOOKUP("Not applicable",FUT_12_Educ_Men,Age15_19, FALSE)),":")</f>
        <v>:</v>
      </c>
      <c r="H141" s="108" t="str">
        <f>IFERROR(HLOOKUP($A141,FUT_12_Educ_Women,Age15_19, FALSE)/(HLOOKUP("Total",FUT_12_Educ_Women,Age15_19, FALSE)-HLOOKUP("Not applicable",FUT_12_Educ_Women,Age15_19, FALSE)),":")</f>
        <v>:</v>
      </c>
      <c r="I141" s="106" t="str">
        <f>IFERROR(HLOOKUP($A141,FUT_12_Educ_Tot,Age20_24, FALSE)/(HLOOKUP("Total",FUT_12_Educ_Tot,Age20_24, FALSE)-HLOOKUP("Not applicable",FUT_12_Educ_Tot,Age20_24, FALSE)),":")</f>
        <v>:</v>
      </c>
      <c r="J141" s="107" t="str">
        <f>IFERROR(HLOOKUP($A141,FUT_12_Educ_Men,Age20_24, FALSE)/(HLOOKUP("Total",FUT_12_Educ_Men,Age20_24, FALSE)-HLOOKUP("Not applicable",FUT_12_Educ_Men,Age20_24, FALSE)),":")</f>
        <v>:</v>
      </c>
      <c r="K141" s="108" t="str">
        <f>IFERROR(HLOOKUP($A141,FUT_12_Educ_Women,Age20_24, FALSE)/(HLOOKUP("Total",FUT_12_Educ_Women,Age20_24, FALSE)-HLOOKUP("Not applicable",FUT_12_Educ_Women,Age20_24, FALSE)),":")</f>
        <v>:</v>
      </c>
      <c r="L141" s="106" t="str">
        <f>IFERROR(HLOOKUP($A141,FUT_12_Educ_Tot,Age25_29, FALSE)/(HLOOKUP("Total",FUT_12_Educ_Tot,Age25_29, FALSE)-HLOOKUP("Not applicable",FUT_12_Educ_Tot,Age25_29, FALSE)),":")</f>
        <v>:</v>
      </c>
      <c r="M141" s="107" t="str">
        <f>IFERROR(HLOOKUP($A141,FUT_12_Educ_Men,Age25_29, FALSE)/(HLOOKUP("Total",FUT_12_Educ_Men,Age25_29, FALSE)-HLOOKUP("Not applicable",FUT_12_Educ_Men,Age25_29, FALSE)),":")</f>
        <v>:</v>
      </c>
      <c r="N141" s="108" t="str">
        <f>IFERROR(HLOOKUP($A141,FUT_12_Educ_Women,Age25_29, FALSE)/(HLOOKUP("Total",FUT_12_Educ_Women,Age25_29, FALSE)-HLOOKUP("Not applicable",FUT_12_Educ_Women,Age25_29, FALSE)),":")</f>
        <v>:</v>
      </c>
    </row>
    <row r="142" spans="1:14" ht="17" thickTop="1" thickBot="1" x14ac:dyDescent="0.25"/>
    <row r="143" spans="1:14" ht="15.75" customHeight="1" thickTop="1" x14ac:dyDescent="0.2">
      <c r="A143" s="352" t="s">
        <v>190</v>
      </c>
      <c r="B143" s="353"/>
      <c r="C143" s="347" t="s">
        <v>228</v>
      </c>
      <c r="D143" s="348"/>
      <c r="E143" s="349"/>
      <c r="F143" s="347" t="s">
        <v>11</v>
      </c>
      <c r="G143" s="348"/>
      <c r="H143" s="349"/>
      <c r="I143" s="356" t="s">
        <v>13</v>
      </c>
      <c r="J143" s="348"/>
      <c r="K143" s="349"/>
      <c r="L143" s="347" t="s">
        <v>227</v>
      </c>
      <c r="M143" s="348"/>
      <c r="N143" s="350"/>
    </row>
    <row r="144" spans="1:14" x14ac:dyDescent="0.2">
      <c r="A144" s="354"/>
      <c r="B144" s="355"/>
      <c r="C144" s="49" t="s">
        <v>3</v>
      </c>
      <c r="D144" s="47" t="s">
        <v>4</v>
      </c>
      <c r="E144" s="48" t="s">
        <v>5</v>
      </c>
      <c r="F144" s="49" t="s">
        <v>3</v>
      </c>
      <c r="G144" s="47" t="s">
        <v>4</v>
      </c>
      <c r="H144" s="48" t="s">
        <v>5</v>
      </c>
      <c r="I144" s="46" t="s">
        <v>3</v>
      </c>
      <c r="J144" s="47" t="s">
        <v>4</v>
      </c>
      <c r="K144" s="48" t="s">
        <v>5</v>
      </c>
      <c r="L144" s="49" t="s">
        <v>3</v>
      </c>
      <c r="M144" s="47" t="s">
        <v>4</v>
      </c>
      <c r="N144" s="164" t="s">
        <v>5</v>
      </c>
    </row>
    <row r="145" spans="1:14" x14ac:dyDescent="0.2">
      <c r="A145" s="98" t="s">
        <v>185</v>
      </c>
      <c r="B145" s="99"/>
      <c r="C145" s="100" t="str">
        <f t="shared" ref="C145:E145" si="54">IF(COUNT(C146:C149)&gt;0,SUM(C146:C149),":")</f>
        <v>:</v>
      </c>
      <c r="D145" s="101" t="str">
        <f t="shared" si="54"/>
        <v>:</v>
      </c>
      <c r="E145" s="102" t="str">
        <f t="shared" si="54"/>
        <v>:</v>
      </c>
      <c r="F145" s="100" t="str">
        <f t="shared" ref="F145:K145" si="55">IF(COUNT(F146:F149)&gt;0,SUM(F146:F149),":")</f>
        <v>:</v>
      </c>
      <c r="G145" s="101" t="str">
        <f t="shared" si="55"/>
        <v>:</v>
      </c>
      <c r="H145" s="102" t="str">
        <f t="shared" si="55"/>
        <v>:</v>
      </c>
      <c r="I145" s="100" t="str">
        <f t="shared" si="55"/>
        <v>:</v>
      </c>
      <c r="J145" s="101" t="str">
        <f t="shared" si="55"/>
        <v>:</v>
      </c>
      <c r="K145" s="102" t="str">
        <f t="shared" si="55"/>
        <v>:</v>
      </c>
      <c r="L145" s="100" t="str">
        <f t="shared" ref="L145:N145" si="56">IF(COUNT(L146:L149)&gt;0,SUM(L146:L149),":")</f>
        <v>:</v>
      </c>
      <c r="M145" s="101" t="str">
        <f t="shared" si="56"/>
        <v>:</v>
      </c>
      <c r="N145" s="102" t="str">
        <f t="shared" si="56"/>
        <v>:</v>
      </c>
    </row>
    <row r="146" spans="1:14" outlineLevel="1" x14ac:dyDescent="0.2">
      <c r="A146" s="50"/>
      <c r="B146" s="60" t="s">
        <v>15</v>
      </c>
      <c r="C146" s="52" t="str">
        <f>IFERROR(HLOOKUP($B146,FUT_18_Educ_Tot,Age15_29, FALSE)/(HLOOKUP("Total",FUT_18_Educ_Tot,Age15_29, FALSE)-HLOOKUP("Not applicable",FUT_18_Educ_Tot,Age15_29, FALSE)),":")</f>
        <v>:</v>
      </c>
      <c r="D146" s="53" t="str">
        <f>IFERROR(HLOOKUP($B146,FUT_18_Educ_Men,Age15_29, FALSE)/(HLOOKUP("Total",FUT_18_Educ_Men,Age15_29, FALSE)-HLOOKUP("Not applicable",FUT_18_Educ_Men,Age15_29, FALSE)),":")</f>
        <v>:</v>
      </c>
      <c r="E146" s="54" t="str">
        <f>IFERROR(HLOOKUP($B146,FUT_18_Educ_Women,Age15_29, FALSE)/(HLOOKUP("Total",FUT_18_Educ_Women,Age15_29, FALSE)-HLOOKUP("Not applicable",FUT_18_Educ_Women,Age15_29, FALSE)),":")</f>
        <v>:</v>
      </c>
      <c r="F146" s="52" t="str">
        <f>IFERROR(HLOOKUP($B146,FUT_18_Educ_Tot,Age15_19, FALSE)/(HLOOKUP("Total",FUT_18_Educ_Tot,Age15_19, FALSE)-HLOOKUP("Not applicable",FUT_18_Educ_Tot,Age15_19, FALSE)),":")</f>
        <v>:</v>
      </c>
      <c r="G146" s="53" t="str">
        <f>IFERROR(HLOOKUP($B146,FUT_18_Educ_Men,Age15_19, FALSE)/(HLOOKUP("Total",FUT_18_Educ_Men,Age15_19, FALSE)-HLOOKUP("Not applicable",FUT_18_Educ_Men,Age15_19, FALSE)),":")</f>
        <v>:</v>
      </c>
      <c r="H146" s="54" t="str">
        <f>IFERROR(HLOOKUP($B146,FUT_18_Educ_Women,Age15_19, FALSE)/(HLOOKUP("Total",FUT_18_Educ_Women,Age15_19, FALSE)-HLOOKUP("Not applicable",FUT_18_Educ_Women,Age15_19, FALSE)),":")</f>
        <v>:</v>
      </c>
      <c r="I146" s="52" t="str">
        <f>IFERROR(HLOOKUP($B146,FUT_18_Educ_Tot,Age20_24, FALSE)/(HLOOKUP("Total",FUT_18_Educ_Tot,Age20_24, FALSE)-HLOOKUP("Not applicable",FUT_18_Educ_Tot,Age20_24, FALSE)),":")</f>
        <v>:</v>
      </c>
      <c r="J146" s="53" t="str">
        <f>IFERROR(HLOOKUP($B146,FUT_18_Educ_Men,Age20_24, FALSE)/(HLOOKUP("Total",FUT_18_Educ_Men,Age20_24, FALSE)-HLOOKUP("Not applicable",FUT_18_Educ_Men,Age20_24, FALSE)),":")</f>
        <v>:</v>
      </c>
      <c r="K146" s="54" t="str">
        <f>IFERROR(HLOOKUP($B146,FUT_18_Educ_Women,Age20_24, FALSE)/(HLOOKUP("Total",FUT_18_Educ_Women,Age20_24, FALSE)-HLOOKUP("Not applicable",FUT_18_Educ_Women,Age20_24, FALSE)),":")</f>
        <v>:</v>
      </c>
      <c r="L146" s="52" t="str">
        <f>IFERROR(HLOOKUP($B146,FUT_18_Educ_Tot,Age25_29, FALSE)/(HLOOKUP("Total",FUT_18_Educ_Tot,Age25_29, FALSE)-HLOOKUP("Not applicable",FUT_18_Educ_Tot,Age25_29, FALSE)),":")</f>
        <v>:</v>
      </c>
      <c r="M146" s="53" t="str">
        <f>IFERROR(HLOOKUP($B146,FUT_18_Educ_Men,Age25_29, FALSE)/(HLOOKUP("Total",FUT_18_Educ_Men,Age25_29, FALSE)-HLOOKUP("Not applicable",FUT_18_Educ_Men,Age25_29, FALSE)),":")</f>
        <v>:</v>
      </c>
      <c r="N146" s="54" t="str">
        <f>IFERROR(HLOOKUP($B146,FUT_18_Educ_Women,Age25_29, FALSE)/(HLOOKUP("Total",FUT_18_Educ_Women,Age25_29, FALSE)-HLOOKUP("Not applicable",FUT_18_Educ_Women,Age25_29, FALSE)),":")</f>
        <v>:</v>
      </c>
    </row>
    <row r="147" spans="1:14" outlineLevel="1" x14ac:dyDescent="0.2">
      <c r="A147" s="50"/>
      <c r="B147" s="60" t="s">
        <v>16</v>
      </c>
      <c r="C147" s="52" t="str">
        <f>IFERROR(HLOOKUP($B147,FUT_18_Educ_Tot,Age15_29, FALSE)/(HLOOKUP("Total",FUT_18_Educ_Tot,Age15_29, FALSE)-HLOOKUP("Not applicable",FUT_18_Educ_Tot,Age15_29, FALSE)),":")</f>
        <v>:</v>
      </c>
      <c r="D147" s="53" t="str">
        <f>IFERROR(HLOOKUP($B147,FUT_18_Educ_Men,Age15_29, FALSE)/(HLOOKUP("Total",FUT_18_Educ_Men,Age15_29, FALSE)-HLOOKUP("Not applicable",FUT_18_Educ_Men,Age15_29, FALSE)),":")</f>
        <v>:</v>
      </c>
      <c r="E147" s="54" t="str">
        <f>IFERROR(HLOOKUP($B147,FUT_18_Educ_Women,Age15_29, FALSE)/(HLOOKUP("Total",FUT_18_Educ_Women,Age15_29, FALSE)-HLOOKUP("Not applicable",FUT_18_Educ_Women,Age15_29, FALSE)),":")</f>
        <v>:</v>
      </c>
      <c r="F147" s="52" t="str">
        <f>IFERROR(HLOOKUP($B147,FUT_18_Educ_Tot,Age15_19, FALSE)/(HLOOKUP("Total",FUT_18_Educ_Tot,Age15_19, FALSE)-HLOOKUP("Not applicable",FUT_18_Educ_Tot,Age15_19, FALSE)),":")</f>
        <v>:</v>
      </c>
      <c r="G147" s="53" t="str">
        <f>IFERROR(HLOOKUP($B147,FUT_18_Educ_Men,Age15_19, FALSE)/(HLOOKUP("Total",FUT_18_Educ_Men,Age15_19, FALSE)-HLOOKUP("Not applicable",FUT_18_Educ_Men,Age15_19, FALSE)),":")</f>
        <v>:</v>
      </c>
      <c r="H147" s="54" t="str">
        <f>IFERROR(HLOOKUP($B147,FUT_18_Educ_Women,Age15_19, FALSE)/(HLOOKUP("Total",FUT_18_Educ_Women,Age15_19, FALSE)-HLOOKUP("Not applicable",FUT_18_Educ_Women,Age15_19, FALSE)),":")</f>
        <v>:</v>
      </c>
      <c r="I147" s="52" t="str">
        <f>IFERROR(HLOOKUP($B147,FUT_18_Educ_Tot,Age20_24, FALSE)/(HLOOKUP("Total",FUT_18_Educ_Tot,Age20_24, FALSE)-HLOOKUP("Not applicable",FUT_18_Educ_Tot,Age20_24, FALSE)),":")</f>
        <v>:</v>
      </c>
      <c r="J147" s="53" t="str">
        <f>IFERROR(HLOOKUP($B147,FUT_18_Educ_Men,Age20_24, FALSE)/(HLOOKUP("Total",FUT_18_Educ_Men,Age20_24, FALSE)-HLOOKUP("Not applicable",FUT_18_Educ_Men,Age20_24, FALSE)),":")</f>
        <v>:</v>
      </c>
      <c r="K147" s="54" t="str">
        <f>IFERROR(HLOOKUP($B147,FUT_18_Educ_Women,Age20_24, FALSE)/(HLOOKUP("Total",FUT_18_Educ_Women,Age20_24, FALSE)-HLOOKUP("Not applicable",FUT_18_Educ_Women,Age20_24, FALSE)),":")</f>
        <v>:</v>
      </c>
      <c r="L147" s="52" t="str">
        <f>IFERROR(HLOOKUP($B147,FUT_18_Educ_Tot,Age25_29, FALSE)/(HLOOKUP("Total",FUT_18_Educ_Tot,Age25_29, FALSE)-HLOOKUP("Not applicable",FUT_18_Educ_Tot,Age25_29, FALSE)),":")</f>
        <v>:</v>
      </c>
      <c r="M147" s="53" t="str">
        <f>IFERROR(HLOOKUP($B147,FUT_18_Educ_Men,Age25_29, FALSE)/(HLOOKUP("Total",FUT_18_Educ_Men,Age25_29, FALSE)-HLOOKUP("Not applicable",FUT_18_Educ_Men,Age25_29, FALSE)),":")</f>
        <v>:</v>
      </c>
      <c r="N147" s="54" t="str">
        <f>IFERROR(HLOOKUP($B147,FUT_18_Educ_Women,Age25_29, FALSE)/(HLOOKUP("Total",FUT_18_Educ_Women,Age25_29, FALSE)-HLOOKUP("Not applicable",FUT_18_Educ_Women,Age25_29, FALSE)),":")</f>
        <v>:</v>
      </c>
    </row>
    <row r="148" spans="1:14" outlineLevel="1" x14ac:dyDescent="0.2">
      <c r="A148" s="50"/>
      <c r="B148" s="60" t="s">
        <v>17</v>
      </c>
      <c r="C148" s="52" t="str">
        <f>IFERROR(HLOOKUP($B148,FUT_18_Educ_Tot,Age15_29, FALSE)/(HLOOKUP("Total",FUT_18_Educ_Tot,Age15_29, FALSE)-HLOOKUP("Not applicable",FUT_18_Educ_Tot,Age15_29, FALSE)),":")</f>
        <v>:</v>
      </c>
      <c r="D148" s="53" t="str">
        <f>IFERROR(HLOOKUP($B148,FUT_18_Educ_Men,Age15_29, FALSE)/(HLOOKUP("Total",FUT_18_Educ_Men,Age15_29, FALSE)-HLOOKUP("Not applicable",FUT_18_Educ_Men,Age15_29, FALSE)),":")</f>
        <v>:</v>
      </c>
      <c r="E148" s="54" t="str">
        <f>IFERROR(HLOOKUP($B148,FUT_18_Educ_Women,Age15_29, FALSE)/(HLOOKUP("Total",FUT_18_Educ_Women,Age15_29, FALSE)-HLOOKUP("Not applicable",FUT_18_Educ_Women,Age15_29, FALSE)),":")</f>
        <v>:</v>
      </c>
      <c r="F148" s="52" t="str">
        <f>IFERROR(HLOOKUP($B148,FUT_18_Educ_Tot,Age15_19, FALSE)/(HLOOKUP("Total",FUT_18_Educ_Tot,Age15_19, FALSE)-HLOOKUP("Not applicable",FUT_18_Educ_Tot,Age15_19, FALSE)),":")</f>
        <v>:</v>
      </c>
      <c r="G148" s="53" t="str">
        <f>IFERROR(HLOOKUP($B148,FUT_18_Educ_Men,Age15_19, FALSE)/(HLOOKUP("Total",FUT_18_Educ_Men,Age15_19, FALSE)-HLOOKUP("Not applicable",FUT_18_Educ_Men,Age15_19, FALSE)),":")</f>
        <v>:</v>
      </c>
      <c r="H148" s="54" t="str">
        <f>IFERROR(HLOOKUP($B148,FUT_18_Educ_Women,Age15_19, FALSE)/(HLOOKUP("Total",FUT_18_Educ_Women,Age15_19, FALSE)-HLOOKUP("Not applicable",FUT_18_Educ_Women,Age15_19, FALSE)),":")</f>
        <v>:</v>
      </c>
      <c r="I148" s="52" t="str">
        <f>IFERROR(HLOOKUP($B148,FUT_18_Educ_Tot,Age20_24, FALSE)/(HLOOKUP("Total",FUT_18_Educ_Tot,Age20_24, FALSE)-HLOOKUP("Not applicable",FUT_18_Educ_Tot,Age20_24, FALSE)),":")</f>
        <v>:</v>
      </c>
      <c r="J148" s="53" t="str">
        <f>IFERROR(HLOOKUP($B148,FUT_18_Educ_Men,Age20_24, FALSE)/(HLOOKUP("Total",FUT_18_Educ_Men,Age20_24, FALSE)-HLOOKUP("Not applicable",FUT_18_Educ_Men,Age20_24, FALSE)),":")</f>
        <v>:</v>
      </c>
      <c r="K148" s="54" t="str">
        <f>IFERROR(HLOOKUP($B148,FUT_18_Educ_Women,Age20_24, FALSE)/(HLOOKUP("Total",FUT_18_Educ_Women,Age20_24, FALSE)-HLOOKUP("Not applicable",FUT_18_Educ_Women,Age20_24, FALSE)),":")</f>
        <v>:</v>
      </c>
      <c r="L148" s="52" t="str">
        <f>IFERROR(HLOOKUP($B148,FUT_18_Educ_Tot,Age25_29, FALSE)/(HLOOKUP("Total",FUT_18_Educ_Tot,Age25_29, FALSE)-HLOOKUP("Not applicable",FUT_18_Educ_Tot,Age25_29, FALSE)),":")</f>
        <v>:</v>
      </c>
      <c r="M148" s="53" t="str">
        <f>IFERROR(HLOOKUP($B148,FUT_18_Educ_Men,Age25_29, FALSE)/(HLOOKUP("Total",FUT_18_Educ_Men,Age25_29, FALSE)-HLOOKUP("Not applicable",FUT_18_Educ_Men,Age25_29, FALSE)),":")</f>
        <v>:</v>
      </c>
      <c r="N148" s="54" t="str">
        <f>IFERROR(HLOOKUP($B148,FUT_18_Educ_Women,Age25_29, FALSE)/(HLOOKUP("Total",FUT_18_Educ_Women,Age25_29, FALSE)-HLOOKUP("Not applicable",FUT_18_Educ_Women,Age25_29, FALSE)),":")</f>
        <v>:</v>
      </c>
    </row>
    <row r="149" spans="1:14" outlineLevel="1" x14ac:dyDescent="0.2">
      <c r="A149" s="50"/>
      <c r="B149" s="60" t="s">
        <v>18</v>
      </c>
      <c r="C149" s="52" t="str">
        <f>IFERROR(HLOOKUP($B149,FUT_18_Educ_Tot,Age15_29, FALSE)/(HLOOKUP("Total",FUT_18_Educ_Tot,Age15_29, FALSE)-HLOOKUP("Not applicable",FUT_18_Educ_Tot,Age15_29, FALSE)),":")</f>
        <v>:</v>
      </c>
      <c r="D149" s="53" t="str">
        <f>IFERROR(HLOOKUP($B149,FUT_18_Educ_Men,Age15_29, FALSE)/(HLOOKUP("Total",FUT_18_Educ_Men,Age15_29, FALSE)-HLOOKUP("Not applicable",FUT_18_Educ_Men,Age15_29, FALSE)),":")</f>
        <v>:</v>
      </c>
      <c r="E149" s="54" t="str">
        <f>IFERROR(HLOOKUP($B149,FUT_18_Educ_Women,Age15_29, FALSE)/(HLOOKUP("Total",FUT_18_Educ_Women,Age15_29, FALSE)-HLOOKUP("Not applicable",FUT_18_Educ_Women,Age15_29, FALSE)),":")</f>
        <v>:</v>
      </c>
      <c r="F149" s="52" t="str">
        <f>IFERROR(HLOOKUP($B149,FUT_18_Educ_Tot,Age15_19, FALSE)/(HLOOKUP("Total",FUT_18_Educ_Tot,Age15_19, FALSE)-HLOOKUP("Not applicable",FUT_18_Educ_Tot,Age15_19, FALSE)),":")</f>
        <v>:</v>
      </c>
      <c r="G149" s="53" t="str">
        <f>IFERROR(HLOOKUP($B149,FUT_18_Educ_Men,Age15_19, FALSE)/(HLOOKUP("Total",FUT_18_Educ_Men,Age15_19, FALSE)-HLOOKUP("Not applicable",FUT_18_Educ_Men,Age15_19, FALSE)),":")</f>
        <v>:</v>
      </c>
      <c r="H149" s="54" t="str">
        <f>IFERROR(HLOOKUP($B149,FUT_18_Educ_Women,Age15_19, FALSE)/(HLOOKUP("Total",FUT_18_Educ_Women,Age15_19, FALSE)-HLOOKUP("Not applicable",FUT_18_Educ_Women,Age15_19, FALSE)),":")</f>
        <v>:</v>
      </c>
      <c r="I149" s="52" t="str">
        <f>IFERROR(HLOOKUP($B149,FUT_18_Educ_Tot,Age20_24, FALSE)/(HLOOKUP("Total",FUT_18_Educ_Tot,Age20_24, FALSE)-HLOOKUP("Not applicable",FUT_18_Educ_Tot,Age20_24, FALSE)),":")</f>
        <v>:</v>
      </c>
      <c r="J149" s="53" t="str">
        <f>IFERROR(HLOOKUP($B149,FUT_18_Educ_Men,Age20_24, FALSE)/(HLOOKUP("Total",FUT_18_Educ_Men,Age20_24, FALSE)-HLOOKUP("Not applicable",FUT_18_Educ_Men,Age20_24, FALSE)),":")</f>
        <v>:</v>
      </c>
      <c r="K149" s="54" t="str">
        <f>IFERROR(HLOOKUP($B149,FUT_18_Educ_Women,Age20_24, FALSE)/(HLOOKUP("Total",FUT_18_Educ_Women,Age20_24, FALSE)-HLOOKUP("Not applicable",FUT_18_Educ_Women,Age20_24, FALSE)),":")</f>
        <v>:</v>
      </c>
      <c r="L149" s="52" t="str">
        <f>IFERROR(HLOOKUP($B149,FUT_18_Educ_Tot,Age25_29, FALSE)/(HLOOKUP("Total",FUT_18_Educ_Tot,Age25_29, FALSE)-HLOOKUP("Not applicable",FUT_18_Educ_Tot,Age25_29, FALSE)),":")</f>
        <v>:</v>
      </c>
      <c r="M149" s="53" t="str">
        <f>IFERROR(HLOOKUP($B149,FUT_18_Educ_Men,Age25_29, FALSE)/(HLOOKUP("Total",FUT_18_Educ_Men,Age25_29, FALSE)-HLOOKUP("Not applicable",FUT_18_Educ_Men,Age25_29, FALSE)),":")</f>
        <v>:</v>
      </c>
      <c r="N149" s="54" t="str">
        <f>IFERROR(HLOOKUP($B149,FUT_18_Educ_Women,Age25_29, FALSE)/(HLOOKUP("Total",FUT_18_Educ_Women,Age25_29, FALSE)-HLOOKUP("Not applicable",FUT_18_Educ_Women,Age25_29, FALSE)),":")</f>
        <v>:</v>
      </c>
    </row>
    <row r="150" spans="1:14" x14ac:dyDescent="0.2">
      <c r="A150" s="98" t="s">
        <v>186</v>
      </c>
      <c r="B150" s="103"/>
      <c r="C150" s="100" t="str">
        <f t="shared" ref="C150:E150" si="57">IF(COUNT(C151:C152)&gt;0,SUM(C151:C152),":")</f>
        <v>:</v>
      </c>
      <c r="D150" s="101" t="str">
        <f t="shared" si="57"/>
        <v>:</v>
      </c>
      <c r="E150" s="102" t="str">
        <f t="shared" si="57"/>
        <v>:</v>
      </c>
      <c r="F150" s="100" t="str">
        <f t="shared" ref="F150:K150" si="58">IF(COUNT(F151:F152)&gt;0,SUM(F151:F152),":")</f>
        <v>:</v>
      </c>
      <c r="G150" s="101" t="str">
        <f t="shared" si="58"/>
        <v>:</v>
      </c>
      <c r="H150" s="102" t="str">
        <f t="shared" si="58"/>
        <v>:</v>
      </c>
      <c r="I150" s="100" t="str">
        <f t="shared" si="58"/>
        <v>:</v>
      </c>
      <c r="J150" s="101" t="str">
        <f t="shared" si="58"/>
        <v>:</v>
      </c>
      <c r="K150" s="102" t="str">
        <f t="shared" si="58"/>
        <v>:</v>
      </c>
      <c r="L150" s="100" t="str">
        <f t="shared" ref="L150:N150" si="59">IF(COUNT(L151:L152)&gt;0,SUM(L151:L152),":")</f>
        <v>:</v>
      </c>
      <c r="M150" s="101" t="str">
        <f t="shared" si="59"/>
        <v>:</v>
      </c>
      <c r="N150" s="102" t="str">
        <f t="shared" si="59"/>
        <v>:</v>
      </c>
    </row>
    <row r="151" spans="1:14" outlineLevel="1" x14ac:dyDescent="0.2">
      <c r="A151" s="50"/>
      <c r="B151" s="60" t="s">
        <v>20</v>
      </c>
      <c r="C151" s="52" t="str">
        <f>IFERROR(HLOOKUP($B151,FUT_18_Educ_Tot,Age15_29, FALSE)/(HLOOKUP("Total",FUT_18_Educ_Tot,Age15_29, FALSE)-HLOOKUP("Not applicable",FUT_18_Educ_Tot,Age15_29, FALSE)),":")</f>
        <v>:</v>
      </c>
      <c r="D151" s="53" t="str">
        <f>IFERROR(HLOOKUP($B151,FUT_18_Educ_Men,Age15_29, FALSE)/(HLOOKUP("Total",FUT_18_Educ_Men,Age15_29, FALSE)-HLOOKUP("Not applicable",FUT_18_Educ_Men,Age15_29, FALSE)),":")</f>
        <v>:</v>
      </c>
      <c r="E151" s="54" t="str">
        <f>IFERROR(HLOOKUP($B151,FUT_18_Educ_Women,Age15_29, FALSE)/(HLOOKUP("Total",FUT_18_Educ_Women,Age15_29, FALSE)-HLOOKUP("Not applicable",FUT_18_Educ_Women,Age15_29, FALSE)),":")</f>
        <v>:</v>
      </c>
      <c r="F151" s="52" t="str">
        <f>IFERROR(HLOOKUP($B151,FUT_18_Educ_Tot,Age15_19, FALSE)/(HLOOKUP("Total",FUT_18_Educ_Tot,Age15_19, FALSE)-HLOOKUP("Not applicable",FUT_18_Educ_Tot,Age15_19, FALSE)),":")</f>
        <v>:</v>
      </c>
      <c r="G151" s="53" t="str">
        <f>IFERROR(HLOOKUP($B151,FUT_18_Educ_Men,Age15_19, FALSE)/(HLOOKUP("Total",FUT_18_Educ_Men,Age15_19, FALSE)-HLOOKUP("Not applicable",FUT_18_Educ_Men,Age15_19, FALSE)),":")</f>
        <v>:</v>
      </c>
      <c r="H151" s="54" t="str">
        <f>IFERROR(HLOOKUP($B151,FUT_18_Educ_Women,Age15_19, FALSE)/(HLOOKUP("Total",FUT_18_Educ_Women,Age15_19, FALSE)-HLOOKUP("Not applicable",FUT_18_Educ_Women,Age15_19, FALSE)),":")</f>
        <v>:</v>
      </c>
      <c r="I151" s="52" t="str">
        <f>IFERROR(HLOOKUP($B151,FUT_18_Educ_Tot,Age20_24, FALSE)/(HLOOKUP("Total",FUT_18_Educ_Tot,Age20_24, FALSE)-HLOOKUP("Not applicable",FUT_18_Educ_Tot,Age20_24, FALSE)),":")</f>
        <v>:</v>
      </c>
      <c r="J151" s="53" t="str">
        <f>IFERROR(HLOOKUP($B151,FUT_18_Educ_Men,Age20_24, FALSE)/(HLOOKUP("Total",FUT_18_Educ_Men,Age20_24, FALSE)-HLOOKUP("Not applicable",FUT_18_Educ_Men,Age20_24, FALSE)),":")</f>
        <v>:</v>
      </c>
      <c r="K151" s="54" t="str">
        <f>IFERROR(HLOOKUP($B151,FUT_18_Educ_Women,Age20_24, FALSE)/(HLOOKUP("Total",FUT_18_Educ_Women,Age20_24, FALSE)-HLOOKUP("Not applicable",FUT_18_Educ_Women,Age20_24, FALSE)),":")</f>
        <v>:</v>
      </c>
      <c r="L151" s="52" t="str">
        <f>IFERROR(HLOOKUP($B151,FUT_18_Educ_Tot,Age25_29, FALSE)/(HLOOKUP("Total",FUT_18_Educ_Tot,Age25_29, FALSE)-HLOOKUP("Not applicable",FUT_18_Educ_Tot,Age25_29, FALSE)),":")</f>
        <v>:</v>
      </c>
      <c r="M151" s="53" t="str">
        <f>IFERROR(HLOOKUP($B151,FUT_18_Educ_Men,Age25_29, FALSE)/(HLOOKUP("Total",FUT_18_Educ_Men,Age25_29, FALSE)-HLOOKUP("Not applicable",FUT_18_Educ_Men,Age25_29, FALSE)),":")</f>
        <v>:</v>
      </c>
      <c r="N151" s="54" t="str">
        <f>IFERROR(HLOOKUP($B151,FUT_18_Educ_Women,Age25_29, FALSE)/(HLOOKUP("Total",FUT_18_Educ_Women,Age25_29, FALSE)-HLOOKUP("Not applicable",FUT_18_Educ_Women,Age25_29, FALSE)),":")</f>
        <v>:</v>
      </c>
    </row>
    <row r="152" spans="1:14" outlineLevel="1" x14ac:dyDescent="0.2">
      <c r="A152" s="50"/>
      <c r="B152" s="60" t="s">
        <v>91</v>
      </c>
      <c r="C152" s="52" t="str">
        <f>IFERROR(HLOOKUP($B152,FUT_18_Educ_Tot,Age15_29, FALSE)/(HLOOKUP("Total",FUT_18_Educ_Tot,Age15_29, FALSE)-HLOOKUP("Not applicable",FUT_18_Educ_Tot,Age15_29, FALSE)),":")</f>
        <v>:</v>
      </c>
      <c r="D152" s="53" t="str">
        <f>IFERROR(HLOOKUP($B152,FUT_18_Educ_Men,Age15_29, FALSE)/(HLOOKUP("Total",FUT_18_Educ_Men,Age15_29, FALSE)-HLOOKUP("Not applicable",FUT_18_Educ_Men,Age15_29, FALSE)),":")</f>
        <v>:</v>
      </c>
      <c r="E152" s="54" t="str">
        <f>IFERROR(HLOOKUP($B152,FUT_18_Educ_Women,Age15_29, FALSE)/(HLOOKUP("Total",FUT_18_Educ_Women,Age15_29, FALSE)-HLOOKUP("Not applicable",FUT_18_Educ_Women,Age15_29, FALSE)),":")</f>
        <v>:</v>
      </c>
      <c r="F152" s="52" t="str">
        <f>IFERROR(HLOOKUP($B152,FUT_18_Educ_Tot,Age15_19, FALSE)/(HLOOKUP("Total",FUT_18_Educ_Tot,Age15_19, FALSE)-HLOOKUP("Not applicable",FUT_18_Educ_Tot,Age15_19, FALSE)),":")</f>
        <v>:</v>
      </c>
      <c r="G152" s="53" t="str">
        <f>IFERROR(HLOOKUP($B152,FUT_18_Educ_Men,Age15_19, FALSE)/(HLOOKUP("Total",FUT_18_Educ_Men,Age15_19, FALSE)-HLOOKUP("Not applicable",FUT_18_Educ_Men,Age15_19, FALSE)),":")</f>
        <v>:</v>
      </c>
      <c r="H152" s="54" t="str">
        <f>IFERROR(HLOOKUP($B152,FUT_18_Educ_Women,Age15_19, FALSE)/(HLOOKUP("Total",FUT_18_Educ_Women,Age15_19, FALSE)-HLOOKUP("Not applicable",FUT_18_Educ_Women,Age15_19, FALSE)),":")</f>
        <v>:</v>
      </c>
      <c r="I152" s="52" t="str">
        <f>IFERROR(HLOOKUP($B152,FUT_18_Educ_Tot,Age20_24, FALSE)/(HLOOKUP("Total",FUT_18_Educ_Tot,Age20_24, FALSE)-HLOOKUP("Not applicable",FUT_18_Educ_Tot,Age20_24, FALSE)),":")</f>
        <v>:</v>
      </c>
      <c r="J152" s="53" t="str">
        <f>IFERROR(HLOOKUP($B152,FUT_18_Educ_Men,Age20_24, FALSE)/(HLOOKUP("Total",FUT_18_Educ_Men,Age20_24, FALSE)-HLOOKUP("Not applicable",FUT_18_Educ_Men,Age20_24, FALSE)),":")</f>
        <v>:</v>
      </c>
      <c r="K152" s="54" t="str">
        <f>IFERROR(HLOOKUP($B152,FUT_18_Educ_Women,Age20_24, FALSE)/(HLOOKUP("Total",FUT_18_Educ_Women,Age20_24, FALSE)-HLOOKUP("Not applicable",FUT_18_Educ_Women,Age20_24, FALSE)),":")</f>
        <v>:</v>
      </c>
      <c r="L152" s="52" t="str">
        <f>IFERROR(HLOOKUP($B152,FUT_18_Educ_Tot,Age25_29, FALSE)/(HLOOKUP("Total",FUT_18_Educ_Tot,Age25_29, FALSE)-HLOOKUP("Not applicable",FUT_18_Educ_Tot,Age25_29, FALSE)),":")</f>
        <v>:</v>
      </c>
      <c r="M152" s="53" t="str">
        <f>IFERROR(HLOOKUP($B152,FUT_18_Educ_Men,Age25_29, FALSE)/(HLOOKUP("Total",FUT_18_Educ_Men,Age25_29, FALSE)-HLOOKUP("Not applicable",FUT_18_Educ_Men,Age25_29, FALSE)),":")</f>
        <v>:</v>
      </c>
      <c r="N152" s="54" t="str">
        <f>IFERROR(HLOOKUP($B152,FUT_18_Educ_Women,Age25_29, FALSE)/(HLOOKUP("Total",FUT_18_Educ_Women,Age25_29, FALSE)-HLOOKUP("Not applicable",FUT_18_Educ_Women,Age25_29, FALSE)),":")</f>
        <v>:</v>
      </c>
    </row>
    <row r="153" spans="1:14" ht="16" thickBot="1" x14ac:dyDescent="0.25">
      <c r="A153" s="104" t="s">
        <v>21</v>
      </c>
      <c r="B153" s="105"/>
      <c r="C153" s="106" t="str">
        <f>IFERROR(HLOOKUP($A153,FUT_18_Educ_Tot,Age15_29, FALSE)/(HLOOKUP("Total",FUT_18_Educ_Tot,Age15_29, FALSE)-HLOOKUP("Not applicable",FUT_18_Educ_Tot,Age15_29, FALSE)),":")</f>
        <v>:</v>
      </c>
      <c r="D153" s="107" t="str">
        <f>IFERROR(HLOOKUP($A153,FUT_18_Educ_Men,Age15_29, FALSE)/(HLOOKUP("Total",FUT_18_Educ_Men,Age15_29, FALSE)-HLOOKUP("Not applicable",FUT_18_Educ_Men,Age15_29, FALSE)),":")</f>
        <v>:</v>
      </c>
      <c r="E153" s="108" t="str">
        <f>IFERROR(HLOOKUP($A153,FUT_18_Educ_Women,Age15_29, FALSE)/(HLOOKUP("Total",FUT_18_Educ_Women,Age15_29, FALSE)-HLOOKUP("Not applicable",FUT_18_Educ_Women,Age15_29, FALSE)),":")</f>
        <v>:</v>
      </c>
      <c r="F153" s="106" t="str">
        <f>IFERROR(HLOOKUP($A153,FUT_18_Educ_Tot,Age15_19, FALSE)/(HLOOKUP("Total",FUT_18_Educ_Tot,Age15_19, FALSE)-HLOOKUP("Not applicable",FUT_18_Educ_Tot,Age15_19, FALSE)),":")</f>
        <v>:</v>
      </c>
      <c r="G153" s="107" t="str">
        <f>IFERROR(HLOOKUP($A153,FUT_18_Educ_Men,Age15_19, FALSE)/(HLOOKUP("Total",FUT_18_Educ_Men,Age15_19, FALSE)-HLOOKUP("Not applicable",FUT_18_Educ_Men,Age15_19, FALSE)),":")</f>
        <v>:</v>
      </c>
      <c r="H153" s="108" t="str">
        <f>IFERROR(HLOOKUP($A153,FUT_18_Educ_Women,Age15_19, FALSE)/(HLOOKUP("Total",FUT_18_Educ_Women,Age15_19, FALSE)-HLOOKUP("Not applicable",FUT_18_Educ_Women,Age15_19, FALSE)),":")</f>
        <v>:</v>
      </c>
      <c r="I153" s="106" t="str">
        <f>IFERROR(HLOOKUP($A153,FUT_18_Educ_Tot,Age20_24, FALSE)/(HLOOKUP("Total",FUT_18_Educ_Tot,Age20_24, FALSE)-HLOOKUP("Not applicable",FUT_18_Educ_Tot,Age20_24, FALSE)),":")</f>
        <v>:</v>
      </c>
      <c r="J153" s="107" t="str">
        <f>IFERROR(HLOOKUP($A153,FUT_18_Educ_Men,Age20_24, FALSE)/(HLOOKUP("Total",FUT_18_Educ_Men,Age20_24, FALSE)-HLOOKUP("Not applicable",FUT_18_Educ_Men,Age20_24, FALSE)),":")</f>
        <v>:</v>
      </c>
      <c r="K153" s="108" t="str">
        <f>IFERROR(HLOOKUP($A153,FUT_18_Educ_Women,Age20_24, FALSE)/(HLOOKUP("Total",FUT_18_Educ_Women,Age20_24, FALSE)-HLOOKUP("Not applicable",FUT_18_Educ_Women,Age20_24, FALSE)),":")</f>
        <v>:</v>
      </c>
      <c r="L153" s="106" t="str">
        <f>IFERROR(HLOOKUP($A153,FUT_18_Educ_Tot,Age25_29, FALSE)/(HLOOKUP("Total",FUT_18_Educ_Tot,Age25_29, FALSE)-HLOOKUP("Not applicable",FUT_18_Educ_Tot,Age25_29, FALSE)),":")</f>
        <v>:</v>
      </c>
      <c r="M153" s="107" t="str">
        <f>IFERROR(HLOOKUP($A153,FUT_18_Educ_Men,Age25_29, FALSE)/(HLOOKUP("Total",FUT_18_Educ_Men,Age25_29, FALSE)-HLOOKUP("Not applicable",FUT_18_Educ_Men,Age25_29, FALSE)),":")</f>
        <v>:</v>
      </c>
      <c r="N153" s="108" t="str">
        <f>IFERROR(HLOOKUP($A153,FUT_18_Educ_Women,Age25_29, FALSE)/(HLOOKUP("Total",FUT_18_Educ_Women,Age25_29, FALSE)-HLOOKUP("Not applicable",FUT_18_Educ_Women,Age25_29, FALSE)),":")</f>
        <v>:</v>
      </c>
    </row>
    <row r="154" spans="1:14" ht="16" thickTop="1" x14ac:dyDescent="0.2"/>
    <row r="155" spans="1:14" s="45" customFormat="1" x14ac:dyDescent="0.2">
      <c r="A155" s="45" t="s">
        <v>204</v>
      </c>
      <c r="C155" s="45" t="s">
        <v>193</v>
      </c>
    </row>
    <row r="156" spans="1:14" s="45" customFormat="1" ht="58.5" customHeight="1" x14ac:dyDescent="0.2">
      <c r="A156" s="45" t="s">
        <v>208</v>
      </c>
      <c r="C156" s="351" t="s">
        <v>584</v>
      </c>
      <c r="D156" s="351"/>
      <c r="E156" s="351"/>
      <c r="F156" s="351"/>
      <c r="G156" s="351"/>
      <c r="H156" s="351"/>
      <c r="I156" s="351"/>
      <c r="J156" s="351"/>
    </row>
    <row r="157" spans="1:14" ht="16" thickBot="1" x14ac:dyDescent="0.25"/>
    <row r="158" spans="1:14" ht="15.75" customHeight="1" thickTop="1" x14ac:dyDescent="0.2">
      <c r="A158" s="352" t="s">
        <v>184</v>
      </c>
      <c r="B158" s="353"/>
      <c r="C158" s="347" t="s">
        <v>228</v>
      </c>
      <c r="D158" s="348"/>
      <c r="E158" s="349"/>
      <c r="F158" s="347" t="s">
        <v>11</v>
      </c>
      <c r="G158" s="348"/>
      <c r="H158" s="349"/>
      <c r="I158" s="356" t="s">
        <v>13</v>
      </c>
      <c r="J158" s="348"/>
      <c r="K158" s="349"/>
      <c r="L158" s="347" t="s">
        <v>227</v>
      </c>
      <c r="M158" s="348"/>
      <c r="N158" s="350"/>
    </row>
    <row r="159" spans="1:14" x14ac:dyDescent="0.2">
      <c r="A159" s="354"/>
      <c r="B159" s="355"/>
      <c r="C159" s="49" t="s">
        <v>3</v>
      </c>
      <c r="D159" s="47" t="s">
        <v>4</v>
      </c>
      <c r="E159" s="48" t="s">
        <v>5</v>
      </c>
      <c r="F159" s="49" t="s">
        <v>3</v>
      </c>
      <c r="G159" s="47" t="s">
        <v>4</v>
      </c>
      <c r="H159" s="48" t="s">
        <v>5</v>
      </c>
      <c r="I159" s="46" t="s">
        <v>3</v>
      </c>
      <c r="J159" s="47" t="s">
        <v>4</v>
      </c>
      <c r="K159" s="48" t="s">
        <v>5</v>
      </c>
      <c r="L159" s="49" t="s">
        <v>3</v>
      </c>
      <c r="M159" s="47" t="s">
        <v>4</v>
      </c>
      <c r="N159" s="164" t="s">
        <v>5</v>
      </c>
    </row>
    <row r="160" spans="1:14" x14ac:dyDescent="0.2">
      <c r="A160" s="98" t="s">
        <v>185</v>
      </c>
      <c r="B160" s="99"/>
      <c r="C160" s="100" t="str">
        <f t="shared" ref="C160:E160" si="60">IF(COUNT(C161:C164)&gt;0,SUM(C161:C164),":")</f>
        <v>:</v>
      </c>
      <c r="D160" s="101" t="str">
        <f t="shared" si="60"/>
        <v>:</v>
      </c>
      <c r="E160" s="102" t="str">
        <f t="shared" si="60"/>
        <v>:</v>
      </c>
      <c r="F160" s="100" t="str">
        <f t="shared" ref="F160:K160" si="61">IF(COUNT(F161:F164)&gt;0,SUM(F161:F164),":")</f>
        <v>:</v>
      </c>
      <c r="G160" s="101" t="str">
        <f t="shared" si="61"/>
        <v>:</v>
      </c>
      <c r="H160" s="102" t="str">
        <f t="shared" si="61"/>
        <v>:</v>
      </c>
      <c r="I160" s="100" t="str">
        <f t="shared" si="61"/>
        <v>:</v>
      </c>
      <c r="J160" s="101" t="str">
        <f t="shared" si="61"/>
        <v>:</v>
      </c>
      <c r="K160" s="102" t="str">
        <f t="shared" si="61"/>
        <v>:</v>
      </c>
      <c r="L160" s="100" t="str">
        <f t="shared" ref="L160:N160" si="62">IF(COUNT(L161:L164)&gt;0,SUM(L161:L164),":")</f>
        <v>:</v>
      </c>
      <c r="M160" s="101" t="str">
        <f t="shared" si="62"/>
        <v>:</v>
      </c>
      <c r="N160" s="102" t="str">
        <f t="shared" si="62"/>
        <v>:</v>
      </c>
    </row>
    <row r="161" spans="1:14" outlineLevel="1" x14ac:dyDescent="0.2">
      <c r="A161" s="50"/>
      <c r="B161" s="60" t="s">
        <v>15</v>
      </c>
      <c r="C161" s="52" t="str">
        <f>IFERROR(HLOOKUP($B161,FUT_6_Appr_Tot,Age15_29, FALSE)/(HLOOKUP("Total",FUT_6_Appr_Tot,Age15_29, FALSE)-HLOOKUP("Not applicable",FUT_6_Appr_Tot,Age15_29, FALSE)),":")</f>
        <v>:</v>
      </c>
      <c r="D161" s="53" t="str">
        <f>IFERROR(HLOOKUP($B161,FUT_6_Appr_Men,Age15_29, FALSE)/(HLOOKUP("Total",FUT_6_Appr_Men,Age15_29, FALSE)-HLOOKUP("Not applicable",FUT_6_Appr_Men,Age15_29, FALSE)),":")</f>
        <v>:</v>
      </c>
      <c r="E161" s="54" t="str">
        <f>IFERROR(HLOOKUP($B161,FUT_6_Appr_Women,Age15_29, FALSE)/(HLOOKUP("Total",FUT_6_Appr_Women,Age15_29, FALSE)-HLOOKUP("Not applicable",FUT_6_Appr_Women,Age15_29, FALSE)),":")</f>
        <v>:</v>
      </c>
      <c r="F161" s="52" t="str">
        <f>IFERROR(HLOOKUP($B161,FUT_6_Appr_Tot,Age15_19, FALSE)/(HLOOKUP("Total",FUT_6_Appr_Tot,Age15_19, FALSE)-HLOOKUP("Not applicable",FUT_6_Appr_Tot,Age15_19, FALSE)),":")</f>
        <v>:</v>
      </c>
      <c r="G161" s="53" t="str">
        <f>IFERROR(HLOOKUP($B161,FUT_6_Appr_Men,Age15_19, FALSE)/(HLOOKUP("Total",FUT_6_Appr_Men,Age15_19, FALSE)-HLOOKUP("Not applicable",FUT_6_Appr_Men,Age15_19, FALSE)),":")</f>
        <v>:</v>
      </c>
      <c r="H161" s="54" t="str">
        <f>IFERROR(HLOOKUP($B161,FUT_6_Appr_Women,Age15_19, FALSE)/(HLOOKUP("Total",FUT_6_Appr_Women,Age15_19, FALSE)-HLOOKUP("Not applicable",FUT_6_Appr_Women,Age15_19, FALSE)),":")</f>
        <v>:</v>
      </c>
      <c r="I161" s="52" t="str">
        <f>IFERROR(HLOOKUP($B161,FUT_6_Appr_Tot,Age20_24, FALSE)/(HLOOKUP("Total",FUT_6_Appr_Tot,Age20_24, FALSE)-HLOOKUP("Not applicable",FUT_6_Appr_Tot,Age20_24, FALSE)),":")</f>
        <v>:</v>
      </c>
      <c r="J161" s="53" t="str">
        <f>IFERROR(HLOOKUP($B161,FUT_6_Appr_Men,Age20_24, FALSE)/(HLOOKUP("Total",FUT_6_Appr_Men,Age20_24, FALSE)-HLOOKUP("Not applicable",FUT_6_Appr_Men,Age20_24, FALSE)),":")</f>
        <v>:</v>
      </c>
      <c r="K161" s="54" t="str">
        <f>IFERROR(HLOOKUP($B161,FUT_6_Appr_Women,Age20_24, FALSE)/(HLOOKUP("Total",FUT_6_Appr_Women,Age20_24, FALSE)-HLOOKUP("Not applicable",FUT_6_Appr_Women,Age20_24, FALSE)),":")</f>
        <v>:</v>
      </c>
      <c r="L161" s="52" t="str">
        <f>IFERROR(HLOOKUP($B161,FUT_6_Appr_Tot,Age25_29, FALSE)/(HLOOKUP("Total",FUT_6_Appr_Tot,Age25_29, FALSE)-HLOOKUP("Not applicable",FUT_6_Appr_Tot,Age25_29, FALSE)),":")</f>
        <v>:</v>
      </c>
      <c r="M161" s="53" t="str">
        <f>IFERROR(HLOOKUP($B161,FUT_6_Appr_Men,Age25_29, FALSE)/(HLOOKUP("Total",FUT_6_Appr_Men,Age25_29, FALSE)-HLOOKUP("Not applicable",FUT_6_Appr_Men,Age25_29, FALSE)),":")</f>
        <v>:</v>
      </c>
      <c r="N161" s="54" t="str">
        <f>IFERROR(HLOOKUP($B161,FUT_6_Appr_Women,Age25_29, FALSE)/(HLOOKUP("Total",FUT_6_Appr_Women,Age25_29, FALSE)-HLOOKUP("Not applicable",FUT_6_Appr_Women,Age25_29, FALSE)),":")</f>
        <v>:</v>
      </c>
    </row>
    <row r="162" spans="1:14" outlineLevel="1" x14ac:dyDescent="0.2">
      <c r="A162" s="50"/>
      <c r="B162" s="60" t="s">
        <v>16</v>
      </c>
      <c r="C162" s="52" t="str">
        <f>IFERROR(HLOOKUP($B162,FUT_6_Appr_Tot,Age15_29, FALSE)/(HLOOKUP("Total",FUT_6_Appr_Tot,Age15_29, FALSE)-HLOOKUP("Not applicable",FUT_6_Appr_Tot,Age15_29, FALSE)),":")</f>
        <v>:</v>
      </c>
      <c r="D162" s="53" t="str">
        <f>IFERROR(HLOOKUP($B162,FUT_6_Appr_Men,Age15_29, FALSE)/(HLOOKUP("Total",FUT_6_Appr_Men,Age15_29, FALSE)-HLOOKUP("Not applicable",FUT_6_Appr_Men,Age15_29, FALSE)),":")</f>
        <v>:</v>
      </c>
      <c r="E162" s="54" t="str">
        <f>IFERROR(HLOOKUP($B162,FUT_6_Appr_Women,Age15_29, FALSE)/(HLOOKUP("Total",FUT_6_Appr_Women,Age15_29, FALSE)-HLOOKUP("Not applicable",FUT_6_Appr_Women,Age15_29, FALSE)),":")</f>
        <v>:</v>
      </c>
      <c r="F162" s="52" t="str">
        <f>IFERROR(HLOOKUP($B162,FUT_6_Appr_Tot,Age15_19, FALSE)/(HLOOKUP("Total",FUT_6_Appr_Tot,Age15_19, FALSE)-HLOOKUP("Not applicable",FUT_6_Appr_Tot,Age15_19, FALSE)),":")</f>
        <v>:</v>
      </c>
      <c r="G162" s="53" t="str">
        <f>IFERROR(HLOOKUP($B162,FUT_6_Appr_Men,Age15_19, FALSE)/(HLOOKUP("Total",FUT_6_Appr_Men,Age15_19, FALSE)-HLOOKUP("Not applicable",FUT_6_Appr_Men,Age15_19, FALSE)),":")</f>
        <v>:</v>
      </c>
      <c r="H162" s="54" t="str">
        <f>IFERROR(HLOOKUP($B162,FUT_6_Appr_Women,Age15_19, FALSE)/(HLOOKUP("Total",FUT_6_Appr_Women,Age15_19, FALSE)-HLOOKUP("Not applicable",FUT_6_Appr_Women,Age15_19, FALSE)),":")</f>
        <v>:</v>
      </c>
      <c r="I162" s="52" t="str">
        <f>IFERROR(HLOOKUP($B162,FUT_6_Appr_Tot,Age20_24, FALSE)/(HLOOKUP("Total",FUT_6_Appr_Tot,Age20_24, FALSE)-HLOOKUP("Not applicable",FUT_6_Appr_Tot,Age20_24, FALSE)),":")</f>
        <v>:</v>
      </c>
      <c r="J162" s="53" t="str">
        <f>IFERROR(HLOOKUP($B162,FUT_6_Appr_Men,Age20_24, FALSE)/(HLOOKUP("Total",FUT_6_Appr_Men,Age20_24, FALSE)-HLOOKUP("Not applicable",FUT_6_Appr_Men,Age20_24, FALSE)),":")</f>
        <v>:</v>
      </c>
      <c r="K162" s="54" t="str">
        <f>IFERROR(HLOOKUP($B162,FUT_6_Appr_Women,Age20_24, FALSE)/(HLOOKUP("Total",FUT_6_Appr_Women,Age20_24, FALSE)-HLOOKUP("Not applicable",FUT_6_Appr_Women,Age20_24, FALSE)),":")</f>
        <v>:</v>
      </c>
      <c r="L162" s="52" t="str">
        <f>IFERROR(HLOOKUP($B162,FUT_6_Appr_Tot,Age25_29, FALSE)/(HLOOKUP("Total",FUT_6_Appr_Tot,Age25_29, FALSE)-HLOOKUP("Not applicable",FUT_6_Appr_Tot,Age25_29, FALSE)),":")</f>
        <v>:</v>
      </c>
      <c r="M162" s="53" t="str">
        <f>IFERROR(HLOOKUP($B162,FUT_6_Appr_Men,Age25_29, FALSE)/(HLOOKUP("Total",FUT_6_Appr_Men,Age25_29, FALSE)-HLOOKUP("Not applicable",FUT_6_Appr_Men,Age25_29, FALSE)),":")</f>
        <v>:</v>
      </c>
      <c r="N162" s="54" t="str">
        <f>IFERROR(HLOOKUP($B162,FUT_6_Appr_Women,Age25_29, FALSE)/(HLOOKUP("Total",FUT_6_Appr_Women,Age25_29, FALSE)-HLOOKUP("Not applicable",FUT_6_Appr_Women,Age25_29, FALSE)),":")</f>
        <v>:</v>
      </c>
    </row>
    <row r="163" spans="1:14" outlineLevel="1" x14ac:dyDescent="0.2">
      <c r="A163" s="50"/>
      <c r="B163" s="60" t="s">
        <v>17</v>
      </c>
      <c r="C163" s="52" t="str">
        <f>IFERROR(HLOOKUP($B163,FUT_6_Appr_Tot,Age15_29, FALSE)/(HLOOKUP("Total",FUT_6_Appr_Tot,Age15_29, FALSE)-HLOOKUP("Not applicable",FUT_6_Appr_Tot,Age15_29, FALSE)),":")</f>
        <v>:</v>
      </c>
      <c r="D163" s="53" t="str">
        <f>IFERROR(HLOOKUP($B163,FUT_6_Appr_Men,Age15_29, FALSE)/(HLOOKUP("Total",FUT_6_Appr_Men,Age15_29, FALSE)-HLOOKUP("Not applicable",FUT_6_Appr_Men,Age15_29, FALSE)),":")</f>
        <v>:</v>
      </c>
      <c r="E163" s="54" t="str">
        <f>IFERROR(HLOOKUP($B163,FUT_6_Appr_Women,Age15_29, FALSE)/(HLOOKUP("Total",FUT_6_Appr_Women,Age15_29, FALSE)-HLOOKUP("Not applicable",FUT_6_Appr_Women,Age15_29, FALSE)),":")</f>
        <v>:</v>
      </c>
      <c r="F163" s="52" t="str">
        <f>IFERROR(HLOOKUP($B163,FUT_6_Appr_Tot,Age15_19, FALSE)/(HLOOKUP("Total",FUT_6_Appr_Tot,Age15_19, FALSE)-HLOOKUP("Not applicable",FUT_6_Appr_Tot,Age15_19, FALSE)),":")</f>
        <v>:</v>
      </c>
      <c r="G163" s="53" t="str">
        <f>IFERROR(HLOOKUP($B163,FUT_6_Appr_Men,Age15_19, FALSE)/(HLOOKUP("Total",FUT_6_Appr_Men,Age15_19, FALSE)-HLOOKUP("Not applicable",FUT_6_Appr_Men,Age15_19, FALSE)),":")</f>
        <v>:</v>
      </c>
      <c r="H163" s="54" t="str">
        <f>IFERROR(HLOOKUP($B163,FUT_6_Appr_Women,Age15_19, FALSE)/(HLOOKUP("Total",FUT_6_Appr_Women,Age15_19, FALSE)-HLOOKUP("Not applicable",FUT_6_Appr_Women,Age15_19, FALSE)),":")</f>
        <v>:</v>
      </c>
      <c r="I163" s="52" t="str">
        <f>IFERROR(HLOOKUP($B163,FUT_6_Appr_Tot,Age20_24, FALSE)/(HLOOKUP("Total",FUT_6_Appr_Tot,Age20_24, FALSE)-HLOOKUP("Not applicable",FUT_6_Appr_Tot,Age20_24, FALSE)),":")</f>
        <v>:</v>
      </c>
      <c r="J163" s="53" t="str">
        <f>IFERROR(HLOOKUP($B163,FUT_6_Appr_Men,Age20_24, FALSE)/(HLOOKUP("Total",FUT_6_Appr_Men,Age20_24, FALSE)-HLOOKUP("Not applicable",FUT_6_Appr_Men,Age20_24, FALSE)),":")</f>
        <v>:</v>
      </c>
      <c r="K163" s="54" t="str">
        <f>IFERROR(HLOOKUP($B163,FUT_6_Appr_Women,Age20_24, FALSE)/(HLOOKUP("Total",FUT_6_Appr_Women,Age20_24, FALSE)-HLOOKUP("Not applicable",FUT_6_Appr_Women,Age20_24, FALSE)),":")</f>
        <v>:</v>
      </c>
      <c r="L163" s="52" t="str">
        <f>IFERROR(HLOOKUP($B163,FUT_6_Appr_Tot,Age25_29, FALSE)/(HLOOKUP("Total",FUT_6_Appr_Tot,Age25_29, FALSE)-HLOOKUP("Not applicable",FUT_6_Appr_Tot,Age25_29, FALSE)),":")</f>
        <v>:</v>
      </c>
      <c r="M163" s="53" t="str">
        <f>IFERROR(HLOOKUP($B163,FUT_6_Appr_Men,Age25_29, FALSE)/(HLOOKUP("Total",FUT_6_Appr_Men,Age25_29, FALSE)-HLOOKUP("Not applicable",FUT_6_Appr_Men,Age25_29, FALSE)),":")</f>
        <v>:</v>
      </c>
      <c r="N163" s="54" t="str">
        <f>IFERROR(HLOOKUP($B163,FUT_6_Appr_Women,Age25_29, FALSE)/(HLOOKUP("Total",FUT_6_Appr_Women,Age25_29, FALSE)-HLOOKUP("Not applicable",FUT_6_Appr_Women,Age25_29, FALSE)),":")</f>
        <v>:</v>
      </c>
    </row>
    <row r="164" spans="1:14" outlineLevel="1" x14ac:dyDescent="0.2">
      <c r="A164" s="50"/>
      <c r="B164" s="60" t="s">
        <v>18</v>
      </c>
      <c r="C164" s="52" t="str">
        <f>IFERROR(HLOOKUP($B164,FUT_6_Appr_Tot,Age15_29, FALSE)/(HLOOKUP("Total",FUT_6_Appr_Tot,Age15_29, FALSE)-HLOOKUP("Not applicable",FUT_6_Appr_Tot,Age15_29, FALSE)),":")</f>
        <v>:</v>
      </c>
      <c r="D164" s="53" t="str">
        <f>IFERROR(HLOOKUP($B164,FUT_6_Appr_Men,Age15_29, FALSE)/(HLOOKUP("Total",FUT_6_Appr_Men,Age15_29, FALSE)-HLOOKUP("Not applicable",FUT_6_Appr_Men,Age15_29, FALSE)),":")</f>
        <v>:</v>
      </c>
      <c r="E164" s="54" t="str">
        <f>IFERROR(HLOOKUP($B164,FUT_6_Appr_Women,Age15_29, FALSE)/(HLOOKUP("Total",FUT_6_Appr_Women,Age15_29, FALSE)-HLOOKUP("Not applicable",FUT_6_Appr_Women,Age15_29, FALSE)),":")</f>
        <v>:</v>
      </c>
      <c r="F164" s="52" t="str">
        <f>IFERROR(HLOOKUP($B164,FUT_6_Appr_Tot,Age15_19, FALSE)/(HLOOKUP("Total",FUT_6_Appr_Tot,Age15_19, FALSE)-HLOOKUP("Not applicable",FUT_6_Appr_Tot,Age15_19, FALSE)),":")</f>
        <v>:</v>
      </c>
      <c r="G164" s="53" t="str">
        <f>IFERROR(HLOOKUP($B164,FUT_6_Appr_Men,Age15_19, FALSE)/(HLOOKUP("Total",FUT_6_Appr_Men,Age15_19, FALSE)-HLOOKUP("Not applicable",FUT_6_Appr_Men,Age15_19, FALSE)),":")</f>
        <v>:</v>
      </c>
      <c r="H164" s="54" t="str">
        <f>IFERROR(HLOOKUP($B164,FUT_6_Appr_Women,Age15_19, FALSE)/(HLOOKUP("Total",FUT_6_Appr_Women,Age15_19, FALSE)-HLOOKUP("Not applicable",FUT_6_Appr_Women,Age15_19, FALSE)),":")</f>
        <v>:</v>
      </c>
      <c r="I164" s="52" t="str">
        <f>IFERROR(HLOOKUP($B164,FUT_6_Appr_Tot,Age20_24, FALSE)/(HLOOKUP("Total",FUT_6_Appr_Tot,Age20_24, FALSE)-HLOOKUP("Not applicable",FUT_6_Appr_Tot,Age20_24, FALSE)),":")</f>
        <v>:</v>
      </c>
      <c r="J164" s="53" t="str">
        <f>IFERROR(HLOOKUP($B164,FUT_6_Appr_Men,Age20_24, FALSE)/(HLOOKUP("Total",FUT_6_Appr_Men,Age20_24, FALSE)-HLOOKUP("Not applicable",FUT_6_Appr_Men,Age20_24, FALSE)),":")</f>
        <v>:</v>
      </c>
      <c r="K164" s="54" t="str">
        <f>IFERROR(HLOOKUP($B164,FUT_6_Appr_Women,Age20_24, FALSE)/(HLOOKUP("Total",FUT_6_Appr_Women,Age20_24, FALSE)-HLOOKUP("Not applicable",FUT_6_Appr_Women,Age20_24, FALSE)),":")</f>
        <v>:</v>
      </c>
      <c r="L164" s="52" t="str">
        <f>IFERROR(HLOOKUP($B164,FUT_6_Appr_Tot,Age25_29, FALSE)/(HLOOKUP("Total",FUT_6_Appr_Tot,Age25_29, FALSE)-HLOOKUP("Not applicable",FUT_6_Appr_Tot,Age25_29, FALSE)),":")</f>
        <v>:</v>
      </c>
      <c r="M164" s="53" t="str">
        <f>IFERROR(HLOOKUP($B164,FUT_6_Appr_Men,Age25_29, FALSE)/(HLOOKUP("Total",FUT_6_Appr_Men,Age25_29, FALSE)-HLOOKUP("Not applicable",FUT_6_Appr_Men,Age25_29, FALSE)),":")</f>
        <v>:</v>
      </c>
      <c r="N164" s="54" t="str">
        <f>IFERROR(HLOOKUP($B164,FUT_6_Appr_Women,Age25_29, FALSE)/(HLOOKUP("Total",FUT_6_Appr_Women,Age25_29, FALSE)-HLOOKUP("Not applicable",FUT_6_Appr_Women,Age25_29, FALSE)),":")</f>
        <v>:</v>
      </c>
    </row>
    <row r="165" spans="1:14" x14ac:dyDescent="0.2">
      <c r="A165" s="98" t="s">
        <v>186</v>
      </c>
      <c r="B165" s="103"/>
      <c r="C165" s="100" t="str">
        <f t="shared" ref="C165:E165" si="63">IF(COUNT(C166:C167)&gt;0,SUM(C166:C167),":")</f>
        <v>:</v>
      </c>
      <c r="D165" s="101" t="str">
        <f t="shared" si="63"/>
        <v>:</v>
      </c>
      <c r="E165" s="102" t="str">
        <f t="shared" si="63"/>
        <v>:</v>
      </c>
      <c r="F165" s="100" t="str">
        <f t="shared" ref="F165:K165" si="64">IF(COUNT(F166:F167)&gt;0,SUM(F166:F167),":")</f>
        <v>:</v>
      </c>
      <c r="G165" s="101" t="str">
        <f t="shared" si="64"/>
        <v>:</v>
      </c>
      <c r="H165" s="102" t="str">
        <f t="shared" si="64"/>
        <v>:</v>
      </c>
      <c r="I165" s="100" t="str">
        <f t="shared" si="64"/>
        <v>:</v>
      </c>
      <c r="J165" s="101" t="str">
        <f t="shared" si="64"/>
        <v>:</v>
      </c>
      <c r="K165" s="102" t="str">
        <f t="shared" si="64"/>
        <v>:</v>
      </c>
      <c r="L165" s="100" t="str">
        <f t="shared" ref="L165:N165" si="65">IF(COUNT(L166:L167)&gt;0,SUM(L166:L167),":")</f>
        <v>:</v>
      </c>
      <c r="M165" s="101" t="str">
        <f t="shared" si="65"/>
        <v>:</v>
      </c>
      <c r="N165" s="102" t="str">
        <f t="shared" si="65"/>
        <v>:</v>
      </c>
    </row>
    <row r="166" spans="1:14" outlineLevel="1" x14ac:dyDescent="0.2">
      <c r="A166" s="50"/>
      <c r="B166" s="60" t="s">
        <v>20</v>
      </c>
      <c r="C166" s="52" t="str">
        <f>IFERROR(HLOOKUP($B166,FUT_6_Appr_Tot,Age15_29, FALSE)/(HLOOKUP("Total",FUT_6_Appr_Tot,Age15_29, FALSE)-HLOOKUP("Not applicable",FUT_6_Appr_Tot,Age15_29, FALSE)),":")</f>
        <v>:</v>
      </c>
      <c r="D166" s="53" t="str">
        <f>IFERROR(HLOOKUP($B166,FUT_6_Appr_Men,Age15_29, FALSE)/(HLOOKUP("Total",FUT_6_Appr_Men,Age15_29, FALSE)-HLOOKUP("Not applicable",FUT_6_Appr_Men,Age15_29, FALSE)),":")</f>
        <v>:</v>
      </c>
      <c r="E166" s="54" t="str">
        <f>IFERROR(HLOOKUP($B166,FUT_6_Appr_Women,Age15_29, FALSE)/(HLOOKUP("Total",FUT_6_Appr_Women,Age15_29, FALSE)-HLOOKUP("Not applicable",FUT_6_Appr_Women,Age15_29, FALSE)),":")</f>
        <v>:</v>
      </c>
      <c r="F166" s="52" t="str">
        <f>IFERROR(HLOOKUP($B166,FUT_6_Appr_Tot,Age15_19, FALSE)/(HLOOKUP("Total",FUT_6_Appr_Tot,Age15_19, FALSE)-HLOOKUP("Not applicable",FUT_6_Appr_Tot,Age15_19, FALSE)),":")</f>
        <v>:</v>
      </c>
      <c r="G166" s="53" t="str">
        <f>IFERROR(HLOOKUP($B166,FUT_6_Appr_Men,Age15_19, FALSE)/(HLOOKUP("Total",FUT_6_Appr_Men,Age15_19, FALSE)-HLOOKUP("Not applicable",FUT_6_Appr_Men,Age15_19, FALSE)),":")</f>
        <v>:</v>
      </c>
      <c r="H166" s="54" t="str">
        <f>IFERROR(HLOOKUP($B166,FUT_6_Appr_Women,Age15_19, FALSE)/(HLOOKUP("Total",FUT_6_Appr_Women,Age15_19, FALSE)-HLOOKUP("Not applicable",FUT_6_Appr_Women,Age15_19, FALSE)),":")</f>
        <v>:</v>
      </c>
      <c r="I166" s="52" t="str">
        <f>IFERROR(HLOOKUP($B166,FUT_6_Appr_Tot,Age20_24, FALSE)/(HLOOKUP("Total",FUT_6_Appr_Tot,Age20_24, FALSE)-HLOOKUP("Not applicable",FUT_6_Appr_Tot,Age20_24, FALSE)),":")</f>
        <v>:</v>
      </c>
      <c r="J166" s="53" t="str">
        <f>IFERROR(HLOOKUP($B166,FUT_6_Appr_Men,Age20_24, FALSE)/(HLOOKUP("Total",FUT_6_Appr_Men,Age20_24, FALSE)-HLOOKUP("Not applicable",FUT_6_Appr_Men,Age20_24, FALSE)),":")</f>
        <v>:</v>
      </c>
      <c r="K166" s="54" t="str">
        <f>IFERROR(HLOOKUP($B166,FUT_6_Appr_Women,Age20_24, FALSE)/(HLOOKUP("Total",FUT_6_Appr_Women,Age20_24, FALSE)-HLOOKUP("Not applicable",FUT_6_Appr_Women,Age20_24, FALSE)),":")</f>
        <v>:</v>
      </c>
      <c r="L166" s="52" t="str">
        <f>IFERROR(HLOOKUP($B166,FUT_6_Appr_Tot,Age25_29, FALSE)/(HLOOKUP("Total",FUT_6_Appr_Tot,Age25_29, FALSE)-HLOOKUP("Not applicable",FUT_6_Appr_Tot,Age25_29, FALSE)),":")</f>
        <v>:</v>
      </c>
      <c r="M166" s="53" t="str">
        <f>IFERROR(HLOOKUP($B166,FUT_6_Appr_Men,Age25_29, FALSE)/(HLOOKUP("Total",FUT_6_Appr_Men,Age25_29, FALSE)-HLOOKUP("Not applicable",FUT_6_Appr_Men,Age25_29, FALSE)),":")</f>
        <v>:</v>
      </c>
      <c r="N166" s="54" t="str">
        <f>IFERROR(HLOOKUP($B166,FUT_6_Appr_Women,Age25_29, FALSE)/(HLOOKUP("Total",FUT_6_Appr_Women,Age25_29, FALSE)-HLOOKUP("Not applicable",FUT_6_Appr_Women,Age25_29, FALSE)),":")</f>
        <v>:</v>
      </c>
    </row>
    <row r="167" spans="1:14" outlineLevel="1" x14ac:dyDescent="0.2">
      <c r="A167" s="50"/>
      <c r="B167" s="60" t="s">
        <v>91</v>
      </c>
      <c r="C167" s="52" t="str">
        <f>IFERROR(HLOOKUP($B167,FUT_6_Appr_Tot,Age15_29, FALSE)/(HLOOKUP("Total",FUT_6_Appr_Tot,Age15_29, FALSE)-HLOOKUP("Not applicable",FUT_6_Appr_Tot,Age15_29, FALSE)),":")</f>
        <v>:</v>
      </c>
      <c r="D167" s="53" t="str">
        <f>IFERROR(HLOOKUP($B167,FUT_6_Appr_Men,Age15_29, FALSE)/(HLOOKUP("Total",FUT_6_Appr_Men,Age15_29, FALSE)-HLOOKUP("Not applicable",FUT_6_Appr_Men,Age15_29, FALSE)),":")</f>
        <v>:</v>
      </c>
      <c r="E167" s="54" t="str">
        <f>IFERROR(HLOOKUP($B167,FUT_6_Appr_Women,Age15_29, FALSE)/(HLOOKUP("Total",FUT_6_Appr_Women,Age15_29, FALSE)-HLOOKUP("Not applicable",FUT_6_Appr_Women,Age15_29, FALSE)),":")</f>
        <v>:</v>
      </c>
      <c r="F167" s="52" t="str">
        <f>IFERROR(HLOOKUP($B167,FUT_6_Appr_Tot,Age15_19, FALSE)/(HLOOKUP("Total",FUT_6_Appr_Tot,Age15_19, FALSE)-HLOOKUP("Not applicable",FUT_6_Appr_Tot,Age15_19, FALSE)),":")</f>
        <v>:</v>
      </c>
      <c r="G167" s="53" t="str">
        <f>IFERROR(HLOOKUP($B167,FUT_6_Appr_Men,Age15_19, FALSE)/(HLOOKUP("Total",FUT_6_Appr_Men,Age15_19, FALSE)-HLOOKUP("Not applicable",FUT_6_Appr_Men,Age15_19, FALSE)),":")</f>
        <v>:</v>
      </c>
      <c r="H167" s="54" t="str">
        <f>IFERROR(HLOOKUP($B167,FUT_6_Appr_Women,Age15_19, FALSE)/(HLOOKUP("Total",FUT_6_Appr_Women,Age15_19, FALSE)-HLOOKUP("Not applicable",FUT_6_Appr_Women,Age15_19, FALSE)),":")</f>
        <v>:</v>
      </c>
      <c r="I167" s="52" t="str">
        <f>IFERROR(HLOOKUP($B167,FUT_6_Appr_Tot,Age20_24, FALSE)/(HLOOKUP("Total",FUT_6_Appr_Tot,Age20_24, FALSE)-HLOOKUP("Not applicable",FUT_6_Appr_Tot,Age20_24, FALSE)),":")</f>
        <v>:</v>
      </c>
      <c r="J167" s="53" t="str">
        <f>IFERROR(HLOOKUP($B167,FUT_6_Appr_Men,Age20_24, FALSE)/(HLOOKUP("Total",FUT_6_Appr_Men,Age20_24, FALSE)-HLOOKUP("Not applicable",FUT_6_Appr_Men,Age20_24, FALSE)),":")</f>
        <v>:</v>
      </c>
      <c r="K167" s="54" t="str">
        <f>IFERROR(HLOOKUP($B167,FUT_6_Appr_Women,Age20_24, FALSE)/(HLOOKUP("Total",FUT_6_Appr_Women,Age20_24, FALSE)-HLOOKUP("Not applicable",FUT_6_Appr_Women,Age20_24, FALSE)),":")</f>
        <v>:</v>
      </c>
      <c r="L167" s="52" t="str">
        <f>IFERROR(HLOOKUP($B167,FUT_6_Appr_Tot,Age25_29, FALSE)/(HLOOKUP("Total",FUT_6_Appr_Tot,Age25_29, FALSE)-HLOOKUP("Not applicable",FUT_6_Appr_Tot,Age25_29, FALSE)),":")</f>
        <v>:</v>
      </c>
      <c r="M167" s="53" t="str">
        <f>IFERROR(HLOOKUP($B167,FUT_6_Appr_Men,Age25_29, FALSE)/(HLOOKUP("Total",FUT_6_Appr_Men,Age25_29, FALSE)-HLOOKUP("Not applicable",FUT_6_Appr_Men,Age25_29, FALSE)),":")</f>
        <v>:</v>
      </c>
      <c r="N167" s="54" t="str">
        <f>IFERROR(HLOOKUP($B167,FUT_6_Appr_Women,Age25_29, FALSE)/(HLOOKUP("Total",FUT_6_Appr_Women,Age25_29, FALSE)-HLOOKUP("Not applicable",FUT_6_Appr_Women,Age25_29, FALSE)),":")</f>
        <v>:</v>
      </c>
    </row>
    <row r="168" spans="1:14" ht="16" thickBot="1" x14ac:dyDescent="0.25">
      <c r="A168" s="104" t="s">
        <v>21</v>
      </c>
      <c r="B168" s="105"/>
      <c r="C168" s="106" t="str">
        <f>IFERROR(HLOOKUP($A168,FUT_6_Appr_Tot,Age15_29, FALSE)/(HLOOKUP("Total",FUT_6_Appr_Tot,Age15_29, FALSE)-HLOOKUP("Not applicable",FUT_6_Appr_Tot,Age15_29, FALSE)),":")</f>
        <v>:</v>
      </c>
      <c r="D168" s="107" t="str">
        <f>IFERROR(HLOOKUP($A168,FUT_6_Appr_Men,Age15_29, FALSE)/(HLOOKUP("Total",FUT_6_Appr_Men,Age15_29, FALSE)-HLOOKUP("Not applicable",FUT_6_Appr_Men,Age15_29, FALSE)),":")</f>
        <v>:</v>
      </c>
      <c r="E168" s="108" t="str">
        <f>IFERROR(HLOOKUP($A168,FUT_6_Appr_Women,Age15_29, FALSE)/(HLOOKUP("Total",FUT_6_Appr_Women,Age15_29, FALSE)-HLOOKUP("Not applicable",FUT_6_Appr_Women,Age15_29, FALSE)),":")</f>
        <v>:</v>
      </c>
      <c r="F168" s="106" t="str">
        <f>IFERROR(HLOOKUP($A168,FUT_6_Appr_Tot,Age15_19, FALSE)/(HLOOKUP("Total",FUT_6_Appr_Tot,Age15_19, FALSE)-HLOOKUP("Not applicable",FUT_6_Appr_Tot,Age15_19, FALSE)),":")</f>
        <v>:</v>
      </c>
      <c r="G168" s="107" t="str">
        <f>IFERROR(HLOOKUP($A168,FUT_6_Appr_Men,Age15_19, FALSE)/(HLOOKUP("Total",FUT_6_Appr_Men,Age15_19, FALSE)-HLOOKUP("Not applicable",FUT_6_Appr_Men,Age15_19, FALSE)),":")</f>
        <v>:</v>
      </c>
      <c r="H168" s="108" t="str">
        <f>IFERROR(HLOOKUP($A168,FUT_6_Appr_Women,Age15_19, FALSE)/(HLOOKUP("Total",FUT_6_Appr_Women,Age15_19, FALSE)-HLOOKUP("Not applicable",FUT_6_Appr_Women,Age15_19, FALSE)),":")</f>
        <v>:</v>
      </c>
      <c r="I168" s="106" t="str">
        <f>IFERROR(HLOOKUP($A168,FUT_6_Appr_Tot,Age20_24, FALSE)/(HLOOKUP("Total",FUT_6_Appr_Tot,Age20_24, FALSE)-HLOOKUP("Not applicable",FUT_6_Appr_Tot,Age20_24, FALSE)),":")</f>
        <v>:</v>
      </c>
      <c r="J168" s="107" t="str">
        <f>IFERROR(HLOOKUP($A168,FUT_6_Appr_Men,Age20_24, FALSE)/(HLOOKUP("Total",FUT_6_Appr_Men,Age20_24, FALSE)-HLOOKUP("Not applicable",FUT_6_Appr_Men,Age20_24, FALSE)),":")</f>
        <v>:</v>
      </c>
      <c r="K168" s="108" t="str">
        <f>IFERROR(HLOOKUP($A168,FUT_6_Appr_Women,Age20_24, FALSE)/(HLOOKUP("Total",FUT_6_Appr_Women,Age20_24, FALSE)-HLOOKUP("Not applicable",FUT_6_Appr_Women,Age20_24, FALSE)),":")</f>
        <v>:</v>
      </c>
      <c r="L168" s="106" t="str">
        <f>IFERROR(HLOOKUP($A168,FUT_6_Appr_Tot,Age25_29, FALSE)/(HLOOKUP("Total",FUT_6_Appr_Tot,Age25_29, FALSE)-HLOOKUP("Not applicable",FUT_6_Appr_Tot,Age25_29, FALSE)),":")</f>
        <v>:</v>
      </c>
      <c r="M168" s="107" t="str">
        <f>IFERROR(HLOOKUP($A168,FUT_6_Appr_Men,Age25_29, FALSE)/(HLOOKUP("Total",FUT_6_Appr_Men,Age25_29, FALSE)-HLOOKUP("Not applicable",FUT_6_Appr_Men,Age25_29, FALSE)),":")</f>
        <v>:</v>
      </c>
      <c r="N168" s="108" t="str">
        <f>IFERROR(HLOOKUP($A168,FUT_6_Appr_Women,Age25_29, FALSE)/(HLOOKUP("Total",FUT_6_Appr_Women,Age25_29, FALSE)-HLOOKUP("Not applicable",FUT_6_Appr_Women,Age25_29, FALSE)),":")</f>
        <v>:</v>
      </c>
    </row>
    <row r="169" spans="1:14" ht="17" thickTop="1" thickBot="1" x14ac:dyDescent="0.25"/>
    <row r="170" spans="1:14" ht="15.75" customHeight="1" thickTop="1" x14ac:dyDescent="0.2">
      <c r="A170" s="352" t="s">
        <v>189</v>
      </c>
      <c r="B170" s="353"/>
      <c r="C170" s="347" t="s">
        <v>228</v>
      </c>
      <c r="D170" s="348"/>
      <c r="E170" s="349"/>
      <c r="F170" s="347" t="s">
        <v>11</v>
      </c>
      <c r="G170" s="348"/>
      <c r="H170" s="349"/>
      <c r="I170" s="356" t="s">
        <v>13</v>
      </c>
      <c r="J170" s="348"/>
      <c r="K170" s="349"/>
      <c r="L170" s="347" t="s">
        <v>227</v>
      </c>
      <c r="M170" s="348"/>
      <c r="N170" s="350"/>
    </row>
    <row r="171" spans="1:14" x14ac:dyDescent="0.2">
      <c r="A171" s="354"/>
      <c r="B171" s="355"/>
      <c r="C171" s="49" t="s">
        <v>3</v>
      </c>
      <c r="D171" s="47" t="s">
        <v>4</v>
      </c>
      <c r="E171" s="48" t="s">
        <v>5</v>
      </c>
      <c r="F171" s="49" t="s">
        <v>3</v>
      </c>
      <c r="G171" s="47" t="s">
        <v>4</v>
      </c>
      <c r="H171" s="48" t="s">
        <v>5</v>
      </c>
      <c r="I171" s="46" t="s">
        <v>3</v>
      </c>
      <c r="J171" s="47" t="s">
        <v>4</v>
      </c>
      <c r="K171" s="48" t="s">
        <v>5</v>
      </c>
      <c r="L171" s="49" t="s">
        <v>3</v>
      </c>
      <c r="M171" s="47" t="s">
        <v>4</v>
      </c>
      <c r="N171" s="164" t="s">
        <v>5</v>
      </c>
    </row>
    <row r="172" spans="1:14" x14ac:dyDescent="0.2">
      <c r="A172" s="98" t="s">
        <v>185</v>
      </c>
      <c r="B172" s="99"/>
      <c r="C172" s="100" t="str">
        <f t="shared" ref="C172:E172" si="66">IF(COUNT(C173:C176)&gt;0,SUM(C173:C176),":")</f>
        <v>:</v>
      </c>
      <c r="D172" s="101" t="str">
        <f t="shared" si="66"/>
        <v>:</v>
      </c>
      <c r="E172" s="102" t="str">
        <f t="shared" si="66"/>
        <v>:</v>
      </c>
      <c r="F172" s="100" t="str">
        <f t="shared" ref="F172:K172" si="67">IF(COUNT(F173:F176)&gt;0,SUM(F173:F176),":")</f>
        <v>:</v>
      </c>
      <c r="G172" s="101" t="str">
        <f t="shared" si="67"/>
        <v>:</v>
      </c>
      <c r="H172" s="102" t="str">
        <f t="shared" si="67"/>
        <v>:</v>
      </c>
      <c r="I172" s="100" t="str">
        <f t="shared" si="67"/>
        <v>:</v>
      </c>
      <c r="J172" s="101" t="str">
        <f t="shared" si="67"/>
        <v>:</v>
      </c>
      <c r="K172" s="102" t="str">
        <f t="shared" si="67"/>
        <v>:</v>
      </c>
      <c r="L172" s="100" t="str">
        <f t="shared" ref="L172:N172" si="68">IF(COUNT(L173:L176)&gt;0,SUM(L173:L176),":")</f>
        <v>:</v>
      </c>
      <c r="M172" s="101" t="str">
        <f t="shared" si="68"/>
        <v>:</v>
      </c>
      <c r="N172" s="102" t="str">
        <f t="shared" si="68"/>
        <v>:</v>
      </c>
    </row>
    <row r="173" spans="1:14" outlineLevel="1" x14ac:dyDescent="0.2">
      <c r="A173" s="50"/>
      <c r="B173" s="60" t="s">
        <v>15</v>
      </c>
      <c r="C173" s="52" t="str">
        <f>IFERROR(HLOOKUP($B173,FUT_12_Appr_Tot,Age15_29, FALSE)/(HLOOKUP("Total",FUT_12_Appr_Tot,Age15_29, FALSE)-HLOOKUP("Not applicable",FUT_12_Appr_Tot,Age15_29, FALSE)),":")</f>
        <v>:</v>
      </c>
      <c r="D173" s="53" t="str">
        <f>IFERROR(HLOOKUP($B173,FUT_12_Appr_Men,Age15_29, FALSE)/(HLOOKUP("Total",FUT_12_Appr_Men,Age15_29, FALSE)-HLOOKUP("Not applicable",FUT_12_Appr_Men,Age15_29, FALSE)),":")</f>
        <v>:</v>
      </c>
      <c r="E173" s="54" t="str">
        <f>IFERROR(HLOOKUP($B173,FUT_12_Appr_Women,Age15_29, FALSE)/(HLOOKUP("Total",FUT_12_Appr_Women,Age15_29, FALSE)-HLOOKUP("Not applicable",FUT_12_Appr_Women,Age15_29, FALSE)),":")</f>
        <v>:</v>
      </c>
      <c r="F173" s="52" t="str">
        <f>IFERROR(HLOOKUP($B173,FUT_12_Appr_Tot,Age15_19, FALSE)/(HLOOKUP("Total",FUT_12_Appr_Tot,Age15_19, FALSE)-HLOOKUP("Not applicable",FUT_12_Appr_Tot,Age15_19, FALSE)),":")</f>
        <v>:</v>
      </c>
      <c r="G173" s="53" t="str">
        <f>IFERROR(HLOOKUP($B173,FUT_12_Appr_Men,Age15_19, FALSE)/(HLOOKUP("Total",FUT_12_Appr_Men,Age15_19, FALSE)-HLOOKUP("Not applicable",FUT_12_Appr_Men,Age15_19, FALSE)),":")</f>
        <v>:</v>
      </c>
      <c r="H173" s="54" t="str">
        <f>IFERROR(HLOOKUP($B173,FUT_12_Appr_Women,Age15_19, FALSE)/(HLOOKUP("Total",FUT_12_Appr_Women,Age15_19, FALSE)-HLOOKUP("Not applicable",FUT_12_Appr_Women,Age15_19, FALSE)),":")</f>
        <v>:</v>
      </c>
      <c r="I173" s="52" t="str">
        <f>IFERROR(HLOOKUP($B173,FUT_12_Appr_Tot,Age20_24, FALSE)/(HLOOKUP("Total",FUT_12_Appr_Tot,Age20_24, FALSE)-HLOOKUP("Not applicable",FUT_12_Appr_Tot,Age20_24, FALSE)),":")</f>
        <v>:</v>
      </c>
      <c r="J173" s="53" t="str">
        <f>IFERROR(HLOOKUP($B173,FUT_12_Appr_Men,Age20_24, FALSE)/(HLOOKUP("Total",FUT_12_Appr_Men,Age20_24, FALSE)-HLOOKUP("Not applicable",FUT_12_Appr_Men,Age20_24, FALSE)),":")</f>
        <v>:</v>
      </c>
      <c r="K173" s="54" t="str">
        <f>IFERROR(HLOOKUP($B173,FUT_12_Appr_Women,Age20_24, FALSE)/(HLOOKUP("Total",FUT_12_Appr_Women,Age20_24, FALSE)-HLOOKUP("Not applicable",FUT_12_Appr_Women,Age20_24, FALSE)),":")</f>
        <v>:</v>
      </c>
      <c r="L173" s="52" t="str">
        <f>IFERROR(HLOOKUP($B173,FUT_12_Appr_Tot,Age25_29, FALSE)/(HLOOKUP("Total",FUT_12_Appr_Tot,Age25_29, FALSE)-HLOOKUP("Not applicable",FUT_12_Appr_Tot,Age25_29, FALSE)),":")</f>
        <v>:</v>
      </c>
      <c r="M173" s="53" t="str">
        <f>IFERROR(HLOOKUP($B173,FUT_12_Appr_Men,Age25_29, FALSE)/(HLOOKUP("Total",FUT_12_Appr_Men,Age25_29, FALSE)-HLOOKUP("Not applicable",FUT_12_Appr_Men,Age25_29, FALSE)),":")</f>
        <v>:</v>
      </c>
      <c r="N173" s="54" t="str">
        <f>IFERROR(HLOOKUP($B173,FUT_12_Appr_Women,Age25_29, FALSE)/(HLOOKUP("Total",FUT_12_Appr_Women,Age25_29, FALSE)-HLOOKUP("Not applicable",FUT_12_Appr_Women,Age25_29, FALSE)),":")</f>
        <v>:</v>
      </c>
    </row>
    <row r="174" spans="1:14" outlineLevel="1" x14ac:dyDescent="0.2">
      <c r="A174" s="50"/>
      <c r="B174" s="60" t="s">
        <v>16</v>
      </c>
      <c r="C174" s="52" t="str">
        <f>IFERROR(HLOOKUP($B174,FUT_12_Appr_Tot,Age15_29, FALSE)/(HLOOKUP("Total",FUT_12_Appr_Tot,Age15_29, FALSE)-HLOOKUP("Not applicable",FUT_12_Appr_Tot,Age15_29, FALSE)),":")</f>
        <v>:</v>
      </c>
      <c r="D174" s="53" t="str">
        <f>IFERROR(HLOOKUP($B174,FUT_12_Appr_Men,Age15_29, FALSE)/(HLOOKUP("Total",FUT_12_Appr_Men,Age15_29, FALSE)-HLOOKUP("Not applicable",FUT_12_Appr_Men,Age15_29, FALSE)),":")</f>
        <v>:</v>
      </c>
      <c r="E174" s="54" t="str">
        <f>IFERROR(HLOOKUP($B174,FUT_12_Appr_Women,Age15_29, FALSE)/(HLOOKUP("Total",FUT_12_Appr_Women,Age15_29, FALSE)-HLOOKUP("Not applicable",FUT_12_Appr_Women,Age15_29, FALSE)),":")</f>
        <v>:</v>
      </c>
      <c r="F174" s="52" t="str">
        <f>IFERROR(HLOOKUP($B174,FUT_12_Appr_Tot,Age15_19, FALSE)/(HLOOKUP("Total",FUT_12_Appr_Tot,Age15_19, FALSE)-HLOOKUP("Not applicable",FUT_12_Appr_Tot,Age15_19, FALSE)),":")</f>
        <v>:</v>
      </c>
      <c r="G174" s="53" t="str">
        <f>IFERROR(HLOOKUP($B174,FUT_12_Appr_Men,Age15_19, FALSE)/(HLOOKUP("Total",FUT_12_Appr_Men,Age15_19, FALSE)-HLOOKUP("Not applicable",FUT_12_Appr_Men,Age15_19, FALSE)),":")</f>
        <v>:</v>
      </c>
      <c r="H174" s="54" t="str">
        <f>IFERROR(HLOOKUP($B174,FUT_12_Appr_Women,Age15_19, FALSE)/(HLOOKUP("Total",FUT_12_Appr_Women,Age15_19, FALSE)-HLOOKUP("Not applicable",FUT_12_Appr_Women,Age15_19, FALSE)),":")</f>
        <v>:</v>
      </c>
      <c r="I174" s="52" t="str">
        <f>IFERROR(HLOOKUP($B174,FUT_12_Appr_Tot,Age20_24, FALSE)/(HLOOKUP("Total",FUT_12_Appr_Tot,Age20_24, FALSE)-HLOOKUP("Not applicable",FUT_12_Appr_Tot,Age20_24, FALSE)),":")</f>
        <v>:</v>
      </c>
      <c r="J174" s="53" t="str">
        <f>IFERROR(HLOOKUP($B174,FUT_12_Appr_Men,Age20_24, FALSE)/(HLOOKUP("Total",FUT_12_Appr_Men,Age20_24, FALSE)-HLOOKUP("Not applicable",FUT_12_Appr_Men,Age20_24, FALSE)),":")</f>
        <v>:</v>
      </c>
      <c r="K174" s="54" t="str">
        <f>IFERROR(HLOOKUP($B174,FUT_12_Appr_Women,Age20_24, FALSE)/(HLOOKUP("Total",FUT_12_Appr_Women,Age20_24, FALSE)-HLOOKUP("Not applicable",FUT_12_Appr_Women,Age20_24, FALSE)),":")</f>
        <v>:</v>
      </c>
      <c r="L174" s="52" t="str">
        <f>IFERROR(HLOOKUP($B174,FUT_12_Appr_Tot,Age25_29, FALSE)/(HLOOKUP("Total",FUT_12_Appr_Tot,Age25_29, FALSE)-HLOOKUP("Not applicable",FUT_12_Appr_Tot,Age25_29, FALSE)),":")</f>
        <v>:</v>
      </c>
      <c r="M174" s="53" t="str">
        <f>IFERROR(HLOOKUP($B174,FUT_12_Appr_Men,Age25_29, FALSE)/(HLOOKUP("Total",FUT_12_Appr_Men,Age25_29, FALSE)-HLOOKUP("Not applicable",FUT_12_Appr_Men,Age25_29, FALSE)),":")</f>
        <v>:</v>
      </c>
      <c r="N174" s="54" t="str">
        <f>IFERROR(HLOOKUP($B174,FUT_12_Appr_Women,Age25_29, FALSE)/(HLOOKUP("Total",FUT_12_Appr_Women,Age25_29, FALSE)-HLOOKUP("Not applicable",FUT_12_Appr_Women,Age25_29, FALSE)),":")</f>
        <v>:</v>
      </c>
    </row>
    <row r="175" spans="1:14" outlineLevel="1" x14ac:dyDescent="0.2">
      <c r="A175" s="50"/>
      <c r="B175" s="60" t="s">
        <v>17</v>
      </c>
      <c r="C175" s="52" t="str">
        <f>IFERROR(HLOOKUP($B175,FUT_12_Appr_Tot,Age15_29, FALSE)/(HLOOKUP("Total",FUT_12_Appr_Tot,Age15_29, FALSE)-HLOOKUP("Not applicable",FUT_12_Appr_Tot,Age15_29, FALSE)),":")</f>
        <v>:</v>
      </c>
      <c r="D175" s="53" t="str">
        <f>IFERROR(HLOOKUP($B175,FUT_12_Appr_Men,Age15_29, FALSE)/(HLOOKUP("Total",FUT_12_Appr_Men,Age15_29, FALSE)-HLOOKUP("Not applicable",FUT_12_Appr_Men,Age15_29, FALSE)),":")</f>
        <v>:</v>
      </c>
      <c r="E175" s="54" t="str">
        <f>IFERROR(HLOOKUP($B175,FUT_12_Appr_Women,Age15_29, FALSE)/(HLOOKUP("Total",FUT_12_Appr_Women,Age15_29, FALSE)-HLOOKUP("Not applicable",FUT_12_Appr_Women,Age15_29, FALSE)),":")</f>
        <v>:</v>
      </c>
      <c r="F175" s="52" t="str">
        <f>IFERROR(HLOOKUP($B175,FUT_12_Appr_Tot,Age15_19, FALSE)/(HLOOKUP("Total",FUT_12_Appr_Tot,Age15_19, FALSE)-HLOOKUP("Not applicable",FUT_12_Appr_Tot,Age15_19, FALSE)),":")</f>
        <v>:</v>
      </c>
      <c r="G175" s="53" t="str">
        <f>IFERROR(HLOOKUP($B175,FUT_12_Appr_Men,Age15_19, FALSE)/(HLOOKUP("Total",FUT_12_Appr_Men,Age15_19, FALSE)-HLOOKUP("Not applicable",FUT_12_Appr_Men,Age15_19, FALSE)),":")</f>
        <v>:</v>
      </c>
      <c r="H175" s="54" t="str">
        <f>IFERROR(HLOOKUP($B175,FUT_12_Appr_Women,Age15_19, FALSE)/(HLOOKUP("Total",FUT_12_Appr_Women,Age15_19, FALSE)-HLOOKUP("Not applicable",FUT_12_Appr_Women,Age15_19, FALSE)),":")</f>
        <v>:</v>
      </c>
      <c r="I175" s="52" t="str">
        <f>IFERROR(HLOOKUP($B175,FUT_12_Appr_Tot,Age20_24, FALSE)/(HLOOKUP("Total",FUT_12_Appr_Tot,Age20_24, FALSE)-HLOOKUP("Not applicable",FUT_12_Appr_Tot,Age20_24, FALSE)),":")</f>
        <v>:</v>
      </c>
      <c r="J175" s="53" t="str">
        <f>IFERROR(HLOOKUP($B175,FUT_12_Appr_Men,Age20_24, FALSE)/(HLOOKUP("Total",FUT_12_Appr_Men,Age20_24, FALSE)-HLOOKUP("Not applicable",FUT_12_Appr_Men,Age20_24, FALSE)),":")</f>
        <v>:</v>
      </c>
      <c r="K175" s="54" t="str">
        <f>IFERROR(HLOOKUP($B175,FUT_12_Appr_Women,Age20_24, FALSE)/(HLOOKUP("Total",FUT_12_Appr_Women,Age20_24, FALSE)-HLOOKUP("Not applicable",FUT_12_Appr_Women,Age20_24, FALSE)),":")</f>
        <v>:</v>
      </c>
      <c r="L175" s="52" t="str">
        <f>IFERROR(HLOOKUP($B175,FUT_12_Appr_Tot,Age25_29, FALSE)/(HLOOKUP("Total",FUT_12_Appr_Tot,Age25_29, FALSE)-HLOOKUP("Not applicable",FUT_12_Appr_Tot,Age25_29, FALSE)),":")</f>
        <v>:</v>
      </c>
      <c r="M175" s="53" t="str">
        <f>IFERROR(HLOOKUP($B175,FUT_12_Appr_Men,Age25_29, FALSE)/(HLOOKUP("Total",FUT_12_Appr_Men,Age25_29, FALSE)-HLOOKUP("Not applicable",FUT_12_Appr_Men,Age25_29, FALSE)),":")</f>
        <v>:</v>
      </c>
      <c r="N175" s="54" t="str">
        <f>IFERROR(HLOOKUP($B175,FUT_12_Appr_Women,Age25_29, FALSE)/(HLOOKUP("Total",FUT_12_Appr_Women,Age25_29, FALSE)-HLOOKUP("Not applicable",FUT_12_Appr_Women,Age25_29, FALSE)),":")</f>
        <v>:</v>
      </c>
    </row>
    <row r="176" spans="1:14" outlineLevel="1" x14ac:dyDescent="0.2">
      <c r="A176" s="50"/>
      <c r="B176" s="60" t="s">
        <v>18</v>
      </c>
      <c r="C176" s="52" t="str">
        <f>IFERROR(HLOOKUP($B176,FUT_12_Appr_Tot,Age15_29, FALSE)/(HLOOKUP("Total",FUT_12_Appr_Tot,Age15_29, FALSE)-HLOOKUP("Not applicable",FUT_12_Appr_Tot,Age15_29, FALSE)),":")</f>
        <v>:</v>
      </c>
      <c r="D176" s="53" t="str">
        <f>IFERROR(HLOOKUP($B176,FUT_12_Appr_Men,Age15_29, FALSE)/(HLOOKUP("Total",FUT_12_Appr_Men,Age15_29, FALSE)-HLOOKUP("Not applicable",FUT_12_Appr_Men,Age15_29, FALSE)),":")</f>
        <v>:</v>
      </c>
      <c r="E176" s="54" t="str">
        <f>IFERROR(HLOOKUP($B176,FUT_12_Appr_Women,Age15_29, FALSE)/(HLOOKUP("Total",FUT_12_Appr_Women,Age15_29, FALSE)-HLOOKUP("Not applicable",FUT_12_Appr_Women,Age15_29, FALSE)),":")</f>
        <v>:</v>
      </c>
      <c r="F176" s="52" t="str">
        <f>IFERROR(HLOOKUP($B176,FUT_12_Appr_Tot,Age15_19, FALSE)/(HLOOKUP("Total",FUT_12_Appr_Tot,Age15_19, FALSE)-HLOOKUP("Not applicable",FUT_12_Appr_Tot,Age15_19, FALSE)),":")</f>
        <v>:</v>
      </c>
      <c r="G176" s="53" t="str">
        <f>IFERROR(HLOOKUP($B176,FUT_12_Appr_Men,Age15_19, FALSE)/(HLOOKUP("Total",FUT_12_Appr_Men,Age15_19, FALSE)-HLOOKUP("Not applicable",FUT_12_Appr_Men,Age15_19, FALSE)),":")</f>
        <v>:</v>
      </c>
      <c r="H176" s="54" t="str">
        <f>IFERROR(HLOOKUP($B176,FUT_12_Appr_Women,Age15_19, FALSE)/(HLOOKUP("Total",FUT_12_Appr_Women,Age15_19, FALSE)-HLOOKUP("Not applicable",FUT_12_Appr_Women,Age15_19, FALSE)),":")</f>
        <v>:</v>
      </c>
      <c r="I176" s="52" t="str">
        <f>IFERROR(HLOOKUP($B176,FUT_12_Appr_Tot,Age20_24, FALSE)/(HLOOKUP("Total",FUT_12_Appr_Tot,Age20_24, FALSE)-HLOOKUP("Not applicable",FUT_12_Appr_Tot,Age20_24, FALSE)),":")</f>
        <v>:</v>
      </c>
      <c r="J176" s="53" t="str">
        <f>IFERROR(HLOOKUP($B176,FUT_12_Appr_Men,Age20_24, FALSE)/(HLOOKUP("Total",FUT_12_Appr_Men,Age20_24, FALSE)-HLOOKUP("Not applicable",FUT_12_Appr_Men,Age20_24, FALSE)),":")</f>
        <v>:</v>
      </c>
      <c r="K176" s="54" t="str">
        <f>IFERROR(HLOOKUP($B176,FUT_12_Appr_Women,Age20_24, FALSE)/(HLOOKUP("Total",FUT_12_Appr_Women,Age20_24, FALSE)-HLOOKUP("Not applicable",FUT_12_Appr_Women,Age20_24, FALSE)),":")</f>
        <v>:</v>
      </c>
      <c r="L176" s="52" t="str">
        <f>IFERROR(HLOOKUP($B176,FUT_12_Appr_Tot,Age25_29, FALSE)/(HLOOKUP("Total",FUT_12_Appr_Tot,Age25_29, FALSE)-HLOOKUP("Not applicable",FUT_12_Appr_Tot,Age25_29, FALSE)),":")</f>
        <v>:</v>
      </c>
      <c r="M176" s="53" t="str">
        <f>IFERROR(HLOOKUP($B176,FUT_12_Appr_Men,Age25_29, FALSE)/(HLOOKUP("Total",FUT_12_Appr_Men,Age25_29, FALSE)-HLOOKUP("Not applicable",FUT_12_Appr_Men,Age25_29, FALSE)),":")</f>
        <v>:</v>
      </c>
      <c r="N176" s="54" t="str">
        <f>IFERROR(HLOOKUP($B176,FUT_12_Appr_Women,Age25_29, FALSE)/(HLOOKUP("Total",FUT_12_Appr_Women,Age25_29, FALSE)-HLOOKUP("Not applicable",FUT_12_Appr_Women,Age25_29, FALSE)),":")</f>
        <v>:</v>
      </c>
    </row>
    <row r="177" spans="1:14" x14ac:dyDescent="0.2">
      <c r="A177" s="98" t="s">
        <v>186</v>
      </c>
      <c r="B177" s="103"/>
      <c r="C177" s="100" t="str">
        <f t="shared" ref="C177:E177" si="69">IF(COUNT(C178:C179)&gt;0,SUM(C178:C179),":")</f>
        <v>:</v>
      </c>
      <c r="D177" s="101" t="str">
        <f t="shared" si="69"/>
        <v>:</v>
      </c>
      <c r="E177" s="102" t="str">
        <f t="shared" si="69"/>
        <v>:</v>
      </c>
      <c r="F177" s="100" t="str">
        <f t="shared" ref="F177:K177" si="70">IF(COUNT(F178:F179)&gt;0,SUM(F178:F179),":")</f>
        <v>:</v>
      </c>
      <c r="G177" s="101" t="str">
        <f t="shared" si="70"/>
        <v>:</v>
      </c>
      <c r="H177" s="102" t="str">
        <f t="shared" si="70"/>
        <v>:</v>
      </c>
      <c r="I177" s="100" t="str">
        <f t="shared" si="70"/>
        <v>:</v>
      </c>
      <c r="J177" s="101" t="str">
        <f t="shared" si="70"/>
        <v>:</v>
      </c>
      <c r="K177" s="102" t="str">
        <f t="shared" si="70"/>
        <v>:</v>
      </c>
      <c r="L177" s="100" t="str">
        <f t="shared" ref="L177:N177" si="71">IF(COUNT(L178:L179)&gt;0,SUM(L178:L179),":")</f>
        <v>:</v>
      </c>
      <c r="M177" s="101" t="str">
        <f t="shared" si="71"/>
        <v>:</v>
      </c>
      <c r="N177" s="102" t="str">
        <f t="shared" si="71"/>
        <v>:</v>
      </c>
    </row>
    <row r="178" spans="1:14" outlineLevel="1" x14ac:dyDescent="0.2">
      <c r="A178" s="50"/>
      <c r="B178" s="60" t="s">
        <v>20</v>
      </c>
      <c r="C178" s="52" t="str">
        <f>IFERROR(HLOOKUP($B178,FUT_12_Appr_Tot,Age15_29, FALSE)/(HLOOKUP("Total",FUT_12_Appr_Tot,Age15_29, FALSE)-HLOOKUP("Not applicable",FUT_12_Appr_Tot,Age15_29, FALSE)),":")</f>
        <v>:</v>
      </c>
      <c r="D178" s="53" t="str">
        <f>IFERROR(HLOOKUP($B178,FUT_12_Appr_Men,Age15_29, FALSE)/(HLOOKUP("Total",FUT_12_Appr_Men,Age15_29, FALSE)-HLOOKUP("Not applicable",FUT_12_Appr_Men,Age15_29, FALSE)),":")</f>
        <v>:</v>
      </c>
      <c r="E178" s="54" t="str">
        <f>IFERROR(HLOOKUP($B178,FUT_12_Appr_Women,Age15_29, FALSE)/(HLOOKUP("Total",FUT_12_Appr_Women,Age15_29, FALSE)-HLOOKUP("Not applicable",FUT_12_Appr_Women,Age15_29, FALSE)),":")</f>
        <v>:</v>
      </c>
      <c r="F178" s="52" t="str">
        <f>IFERROR(HLOOKUP($B178,FUT_12_Appr_Tot,Age15_19, FALSE)/(HLOOKUP("Total",FUT_12_Appr_Tot,Age15_19, FALSE)-HLOOKUP("Not applicable",FUT_12_Appr_Tot,Age15_19, FALSE)),":")</f>
        <v>:</v>
      </c>
      <c r="G178" s="53" t="str">
        <f>IFERROR(HLOOKUP($B178,FUT_12_Appr_Men,Age15_19, FALSE)/(HLOOKUP("Total",FUT_12_Appr_Men,Age15_19, FALSE)-HLOOKUP("Not applicable",FUT_12_Appr_Men,Age15_19, FALSE)),":")</f>
        <v>:</v>
      </c>
      <c r="H178" s="54" t="str">
        <f>IFERROR(HLOOKUP($B178,FUT_12_Appr_Women,Age15_19, FALSE)/(HLOOKUP("Total",FUT_12_Appr_Women,Age15_19, FALSE)-HLOOKUP("Not applicable",FUT_12_Appr_Women,Age15_19, FALSE)),":")</f>
        <v>:</v>
      </c>
      <c r="I178" s="52" t="str">
        <f>IFERROR(HLOOKUP($B178,FUT_12_Appr_Tot,Age20_24, FALSE)/(HLOOKUP("Total",FUT_12_Appr_Tot,Age20_24, FALSE)-HLOOKUP("Not applicable",FUT_12_Appr_Tot,Age20_24, FALSE)),":")</f>
        <v>:</v>
      </c>
      <c r="J178" s="53" t="str">
        <f>IFERROR(HLOOKUP($B178,FUT_12_Appr_Men,Age20_24, FALSE)/(HLOOKUP("Total",FUT_12_Appr_Men,Age20_24, FALSE)-HLOOKUP("Not applicable",FUT_12_Appr_Men,Age20_24, FALSE)),":")</f>
        <v>:</v>
      </c>
      <c r="K178" s="54" t="str">
        <f>IFERROR(HLOOKUP($B178,FUT_12_Appr_Women,Age20_24, FALSE)/(HLOOKUP("Total",FUT_12_Appr_Women,Age20_24, FALSE)-HLOOKUP("Not applicable",FUT_12_Appr_Women,Age20_24, FALSE)),":")</f>
        <v>:</v>
      </c>
      <c r="L178" s="52" t="str">
        <f>IFERROR(HLOOKUP($B178,FUT_12_Appr_Tot,Age25_29, FALSE)/(HLOOKUP("Total",FUT_12_Appr_Tot,Age25_29, FALSE)-HLOOKUP("Not applicable",FUT_12_Appr_Tot,Age25_29, FALSE)),":")</f>
        <v>:</v>
      </c>
      <c r="M178" s="53" t="str">
        <f>IFERROR(HLOOKUP($B178,FUT_12_Appr_Men,Age25_29, FALSE)/(HLOOKUP("Total",FUT_12_Appr_Men,Age25_29, FALSE)-HLOOKUP("Not applicable",FUT_12_Appr_Men,Age25_29, FALSE)),":")</f>
        <v>:</v>
      </c>
      <c r="N178" s="54" t="str">
        <f>IFERROR(HLOOKUP($B178,FUT_12_Appr_Women,Age25_29, FALSE)/(HLOOKUP("Total",FUT_12_Appr_Women,Age25_29, FALSE)-HLOOKUP("Not applicable",FUT_12_Appr_Women,Age25_29, FALSE)),":")</f>
        <v>:</v>
      </c>
    </row>
    <row r="179" spans="1:14" outlineLevel="1" x14ac:dyDescent="0.2">
      <c r="A179" s="50"/>
      <c r="B179" s="60" t="s">
        <v>91</v>
      </c>
      <c r="C179" s="52" t="str">
        <f>IFERROR(HLOOKUP($B179,FUT_12_Appr_Tot,Age15_29, FALSE)/(HLOOKUP("Total",FUT_12_Appr_Tot,Age15_29, FALSE)-HLOOKUP("Not applicable",FUT_12_Appr_Tot,Age15_29, FALSE)),":")</f>
        <v>:</v>
      </c>
      <c r="D179" s="53" t="str">
        <f>IFERROR(HLOOKUP($B179,FUT_12_Appr_Men,Age15_29, FALSE)/(HLOOKUP("Total",FUT_12_Appr_Men,Age15_29, FALSE)-HLOOKUP("Not applicable",FUT_12_Appr_Men,Age15_29, FALSE)),":")</f>
        <v>:</v>
      </c>
      <c r="E179" s="54" t="str">
        <f>IFERROR(HLOOKUP($B179,FUT_12_Appr_Women,Age15_29, FALSE)/(HLOOKUP("Total",FUT_12_Appr_Women,Age15_29, FALSE)-HLOOKUP("Not applicable",FUT_12_Appr_Women,Age15_29, FALSE)),":")</f>
        <v>:</v>
      </c>
      <c r="F179" s="52" t="str">
        <f>IFERROR(HLOOKUP($B179,FUT_12_Appr_Tot,Age15_19, FALSE)/(HLOOKUP("Total",FUT_12_Appr_Tot,Age15_19, FALSE)-HLOOKUP("Not applicable",FUT_12_Appr_Tot,Age15_19, FALSE)),":")</f>
        <v>:</v>
      </c>
      <c r="G179" s="53" t="str">
        <f>IFERROR(HLOOKUP($B179,FUT_12_Appr_Men,Age15_19, FALSE)/(HLOOKUP("Total",FUT_12_Appr_Men,Age15_19, FALSE)-HLOOKUP("Not applicable",FUT_12_Appr_Men,Age15_19, FALSE)),":")</f>
        <v>:</v>
      </c>
      <c r="H179" s="54" t="str">
        <f>IFERROR(HLOOKUP($B179,FUT_12_Appr_Women,Age15_19, FALSE)/(HLOOKUP("Total",FUT_12_Appr_Women,Age15_19, FALSE)-HLOOKUP("Not applicable",FUT_12_Appr_Women,Age15_19, FALSE)),":")</f>
        <v>:</v>
      </c>
      <c r="I179" s="52" t="str">
        <f>IFERROR(HLOOKUP($B179,FUT_12_Appr_Tot,Age20_24, FALSE)/(HLOOKUP("Total",FUT_12_Appr_Tot,Age20_24, FALSE)-HLOOKUP("Not applicable",FUT_12_Appr_Tot,Age20_24, FALSE)),":")</f>
        <v>:</v>
      </c>
      <c r="J179" s="53" t="str">
        <f>IFERROR(HLOOKUP($B179,FUT_12_Appr_Men,Age20_24, FALSE)/(HLOOKUP("Total",FUT_12_Appr_Men,Age20_24, FALSE)-HLOOKUP("Not applicable",FUT_12_Appr_Men,Age20_24, FALSE)),":")</f>
        <v>:</v>
      </c>
      <c r="K179" s="54" t="str">
        <f>IFERROR(HLOOKUP($B179,FUT_12_Appr_Women,Age20_24, FALSE)/(HLOOKUP("Total",FUT_12_Appr_Women,Age20_24, FALSE)-HLOOKUP("Not applicable",FUT_12_Appr_Women,Age20_24, FALSE)),":")</f>
        <v>:</v>
      </c>
      <c r="L179" s="52" t="str">
        <f>IFERROR(HLOOKUP($B179,FUT_12_Appr_Tot,Age25_29, FALSE)/(HLOOKUP("Total",FUT_12_Appr_Tot,Age25_29, FALSE)-HLOOKUP("Not applicable",FUT_12_Appr_Tot,Age25_29, FALSE)),":")</f>
        <v>:</v>
      </c>
      <c r="M179" s="53" t="str">
        <f>IFERROR(HLOOKUP($B179,FUT_12_Appr_Men,Age25_29, FALSE)/(HLOOKUP("Total",FUT_12_Appr_Men,Age25_29, FALSE)-HLOOKUP("Not applicable",FUT_12_Appr_Men,Age25_29, FALSE)),":")</f>
        <v>:</v>
      </c>
      <c r="N179" s="54" t="str">
        <f>IFERROR(HLOOKUP($B179,FUT_12_Appr_Women,Age25_29, FALSE)/(HLOOKUP("Total",FUT_12_Appr_Women,Age25_29, FALSE)-HLOOKUP("Not applicable",FUT_12_Appr_Women,Age25_29, FALSE)),":")</f>
        <v>:</v>
      </c>
    </row>
    <row r="180" spans="1:14" ht="16" thickBot="1" x14ac:dyDescent="0.25">
      <c r="A180" s="104" t="s">
        <v>21</v>
      </c>
      <c r="B180" s="105"/>
      <c r="C180" s="106" t="str">
        <f>IFERROR(HLOOKUP($A180,FUT_12_Appr_Tot,Age15_29, FALSE)/(HLOOKUP("Total",FUT_12_Appr_Tot,Age15_29, FALSE)-HLOOKUP("Not applicable",FUT_12_Appr_Tot,Age15_29, FALSE)),":")</f>
        <v>:</v>
      </c>
      <c r="D180" s="107" t="str">
        <f>IFERROR(HLOOKUP($A180,FUT_12_Appr_Men,Age15_29, FALSE)/(HLOOKUP("Total",FUT_12_Appr_Men,Age15_29, FALSE)-HLOOKUP("Not applicable",FUT_12_Appr_Men,Age15_29, FALSE)),":")</f>
        <v>:</v>
      </c>
      <c r="E180" s="108" t="str">
        <f>IFERROR(HLOOKUP($A180,FUT_12_Appr_Women,Age15_29, FALSE)/(HLOOKUP("Total",FUT_12_Appr_Women,Age15_29, FALSE)-HLOOKUP("Not applicable",FUT_12_Appr_Women,Age15_29, FALSE)),":")</f>
        <v>:</v>
      </c>
      <c r="F180" s="106" t="str">
        <f>IFERROR(HLOOKUP($A180,FUT_12_Appr_Tot,Age15_19, FALSE)/(HLOOKUP("Total",FUT_12_Appr_Tot,Age15_19, FALSE)-HLOOKUP("Not applicable",FUT_12_Appr_Tot,Age15_19, FALSE)),":")</f>
        <v>:</v>
      </c>
      <c r="G180" s="107" t="str">
        <f>IFERROR(HLOOKUP($A180,FUT_12_Appr_Men,Age15_19, FALSE)/(HLOOKUP("Total",FUT_12_Appr_Men,Age15_19, FALSE)-HLOOKUP("Not applicable",FUT_12_Appr_Men,Age15_19, FALSE)),":")</f>
        <v>:</v>
      </c>
      <c r="H180" s="108" t="str">
        <f>IFERROR(HLOOKUP($A180,FUT_12_Appr_Women,Age15_19, FALSE)/(HLOOKUP("Total",FUT_12_Appr_Women,Age15_19, FALSE)-HLOOKUP("Not applicable",FUT_12_Appr_Women,Age15_19, FALSE)),":")</f>
        <v>:</v>
      </c>
      <c r="I180" s="106" t="str">
        <f>IFERROR(HLOOKUP($A180,FUT_12_Appr_Tot,Age20_24, FALSE)/(HLOOKUP("Total",FUT_12_Appr_Tot,Age20_24, FALSE)-HLOOKUP("Not applicable",FUT_12_Appr_Tot,Age20_24, FALSE)),":")</f>
        <v>:</v>
      </c>
      <c r="J180" s="107" t="str">
        <f>IFERROR(HLOOKUP($A180,FUT_12_Appr_Men,Age20_24, FALSE)/(HLOOKUP("Total",FUT_12_Appr_Men,Age20_24, FALSE)-HLOOKUP("Not applicable",FUT_12_Appr_Men,Age20_24, FALSE)),":")</f>
        <v>:</v>
      </c>
      <c r="K180" s="108" t="str">
        <f>IFERROR(HLOOKUP($A180,FUT_12_Appr_Women,Age20_24, FALSE)/(HLOOKUP("Total",FUT_12_Appr_Women,Age20_24, FALSE)-HLOOKUP("Not applicable",FUT_12_Appr_Women,Age20_24, FALSE)),":")</f>
        <v>:</v>
      </c>
      <c r="L180" s="106" t="str">
        <f>IFERROR(HLOOKUP($A180,FUT_12_Appr_Tot,Age25_29, FALSE)/(HLOOKUP("Total",FUT_12_Appr_Tot,Age25_29, FALSE)-HLOOKUP("Not applicable",FUT_12_Appr_Tot,Age25_29, FALSE)),":")</f>
        <v>:</v>
      </c>
      <c r="M180" s="107" t="str">
        <f>IFERROR(HLOOKUP($A180,FUT_12_Appr_Men,Age25_29, FALSE)/(HLOOKUP("Total",FUT_12_Appr_Men,Age25_29, FALSE)-HLOOKUP("Not applicable",FUT_12_Appr_Men,Age25_29, FALSE)),":")</f>
        <v>:</v>
      </c>
      <c r="N180" s="108" t="str">
        <f>IFERROR(HLOOKUP($A180,FUT_12_Appr_Women,Age25_29, FALSE)/(HLOOKUP("Total",FUT_12_Appr_Women,Age25_29, FALSE)-HLOOKUP("Not applicable",FUT_12_Appr_Women,Age25_29, FALSE)),":")</f>
        <v>:</v>
      </c>
    </row>
    <row r="181" spans="1:14" ht="17" thickTop="1" thickBot="1" x14ac:dyDescent="0.25"/>
    <row r="182" spans="1:14" ht="15.75" customHeight="1" thickTop="1" x14ac:dyDescent="0.2">
      <c r="A182" s="352" t="s">
        <v>190</v>
      </c>
      <c r="B182" s="353"/>
      <c r="C182" s="347" t="s">
        <v>228</v>
      </c>
      <c r="D182" s="348"/>
      <c r="E182" s="349"/>
      <c r="F182" s="347" t="s">
        <v>11</v>
      </c>
      <c r="G182" s="348"/>
      <c r="H182" s="349"/>
      <c r="I182" s="356" t="s">
        <v>13</v>
      </c>
      <c r="J182" s="348"/>
      <c r="K182" s="349"/>
      <c r="L182" s="347" t="s">
        <v>227</v>
      </c>
      <c r="M182" s="348"/>
      <c r="N182" s="350"/>
    </row>
    <row r="183" spans="1:14" x14ac:dyDescent="0.2">
      <c r="A183" s="354"/>
      <c r="B183" s="355"/>
      <c r="C183" s="49" t="s">
        <v>3</v>
      </c>
      <c r="D183" s="47" t="s">
        <v>4</v>
      </c>
      <c r="E183" s="48" t="s">
        <v>5</v>
      </c>
      <c r="F183" s="49" t="s">
        <v>3</v>
      </c>
      <c r="G183" s="47" t="s">
        <v>4</v>
      </c>
      <c r="H183" s="48" t="s">
        <v>5</v>
      </c>
      <c r="I183" s="46" t="s">
        <v>3</v>
      </c>
      <c r="J183" s="47" t="s">
        <v>4</v>
      </c>
      <c r="K183" s="48" t="s">
        <v>5</v>
      </c>
      <c r="L183" s="49" t="s">
        <v>3</v>
      </c>
      <c r="M183" s="47" t="s">
        <v>4</v>
      </c>
      <c r="N183" s="164" t="s">
        <v>5</v>
      </c>
    </row>
    <row r="184" spans="1:14" x14ac:dyDescent="0.2">
      <c r="A184" s="98" t="s">
        <v>185</v>
      </c>
      <c r="B184" s="99"/>
      <c r="C184" s="100" t="str">
        <f t="shared" ref="C184:E184" si="72">IF(COUNT(C185:C188)&gt;0,SUM(C185:C188),":")</f>
        <v>:</v>
      </c>
      <c r="D184" s="101" t="str">
        <f t="shared" si="72"/>
        <v>:</v>
      </c>
      <c r="E184" s="102" t="str">
        <f t="shared" si="72"/>
        <v>:</v>
      </c>
      <c r="F184" s="100" t="str">
        <f t="shared" ref="F184:K184" si="73">IF(COUNT(F185:F188)&gt;0,SUM(F185:F188),":")</f>
        <v>:</v>
      </c>
      <c r="G184" s="101" t="str">
        <f t="shared" si="73"/>
        <v>:</v>
      </c>
      <c r="H184" s="102" t="str">
        <f t="shared" si="73"/>
        <v>:</v>
      </c>
      <c r="I184" s="100" t="str">
        <f t="shared" si="73"/>
        <v>:</v>
      </c>
      <c r="J184" s="101" t="str">
        <f t="shared" si="73"/>
        <v>:</v>
      </c>
      <c r="K184" s="102" t="str">
        <f t="shared" si="73"/>
        <v>:</v>
      </c>
      <c r="L184" s="100" t="str">
        <f t="shared" ref="L184:N184" si="74">IF(COUNT(L185:L188)&gt;0,SUM(L185:L188),":")</f>
        <v>:</v>
      </c>
      <c r="M184" s="101" t="str">
        <f t="shared" si="74"/>
        <v>:</v>
      </c>
      <c r="N184" s="102" t="str">
        <f t="shared" si="74"/>
        <v>:</v>
      </c>
    </row>
    <row r="185" spans="1:14" outlineLevel="1" x14ac:dyDescent="0.2">
      <c r="A185" s="50"/>
      <c r="B185" s="60" t="s">
        <v>15</v>
      </c>
      <c r="C185" s="52" t="str">
        <f>IFERROR(HLOOKUP($B185,FUT_18_Appr_Tot,Age15_29, FALSE)/(HLOOKUP("Total",FUT_18_Appr_Tot,Age15_29, FALSE)-HLOOKUP("Not applicable",FUT_18_Appr_Tot,Age15_29, FALSE)),":")</f>
        <v>:</v>
      </c>
      <c r="D185" s="53" t="str">
        <f>IFERROR(HLOOKUP($B185,FUT_18_Appr_Men,Age15_29, FALSE)/(HLOOKUP("Total",FUT_18_Appr_Men,Age15_29, FALSE)-HLOOKUP("Not applicable",FUT_18_Appr_Men,Age15_29, FALSE)),":")</f>
        <v>:</v>
      </c>
      <c r="E185" s="54" t="str">
        <f>IFERROR(HLOOKUP($B185,FUT_18_Appr_Women,Age15_29, FALSE)/(HLOOKUP("Total",FUT_18_Appr_Women,Age15_29, FALSE)-HLOOKUP("Not applicable",FUT_18_Appr_Women,Age15_29, FALSE)),":")</f>
        <v>:</v>
      </c>
      <c r="F185" s="52" t="str">
        <f>IFERROR(HLOOKUP($B185,FUT_18_Appr_Tot,Age15_19, FALSE)/(HLOOKUP("Total",FUT_18_Appr_Tot,Age15_19, FALSE)-HLOOKUP("Not applicable",FUT_18_Appr_Tot,Age15_19, FALSE)),":")</f>
        <v>:</v>
      </c>
      <c r="G185" s="53" t="str">
        <f>IFERROR(HLOOKUP($B185,FUT_18_Appr_Men,Age15_19, FALSE)/(HLOOKUP("Total",FUT_18_Appr_Men,Age15_19, FALSE)-HLOOKUP("Not applicable",FUT_18_Appr_Men,Age15_19, FALSE)),":")</f>
        <v>:</v>
      </c>
      <c r="H185" s="54" t="str">
        <f>IFERROR(HLOOKUP($B185,FUT_18_Appr_Women,Age15_19, FALSE)/(HLOOKUP("Total",FUT_18_Appr_Women,Age15_19, FALSE)-HLOOKUP("Not applicable",FUT_18_Appr_Women,Age15_19, FALSE)),":")</f>
        <v>:</v>
      </c>
      <c r="I185" s="52" t="str">
        <f>IFERROR(HLOOKUP($B185,FUT_18_Appr_Tot,Age20_24, FALSE)/(HLOOKUP("Total",FUT_18_Appr_Tot,Age20_24, FALSE)-HLOOKUP("Not applicable",FUT_18_Appr_Tot,Age20_24, FALSE)),":")</f>
        <v>:</v>
      </c>
      <c r="J185" s="53" t="str">
        <f>IFERROR(HLOOKUP($B185,FUT_18_Appr_Men,Age20_24, FALSE)/(HLOOKUP("Total",FUT_18_Appr_Men,Age20_24, FALSE)-HLOOKUP("Not applicable",FUT_18_Appr_Men,Age20_24, FALSE)),":")</f>
        <v>:</v>
      </c>
      <c r="K185" s="54" t="str">
        <f>IFERROR(HLOOKUP($B185,FUT_18_Appr_Women,Age20_24, FALSE)/(HLOOKUP("Total",FUT_18_Appr_Women,Age20_24, FALSE)-HLOOKUP("Not applicable",FUT_18_Appr_Women,Age20_24, FALSE)),":")</f>
        <v>:</v>
      </c>
      <c r="L185" s="52" t="str">
        <f>IFERROR(HLOOKUP($B185,FUT_18_Appr_Tot,Age25_29, FALSE)/(HLOOKUP("Total",FUT_18_Appr_Tot,Age25_29, FALSE)-HLOOKUP("Not applicable",FUT_18_Appr_Tot,Age25_29, FALSE)),":")</f>
        <v>:</v>
      </c>
      <c r="M185" s="53" t="str">
        <f>IFERROR(HLOOKUP($B185,FUT_18_Appr_Men,Age25_29, FALSE)/(HLOOKUP("Total",FUT_18_Appr_Men,Age25_29, FALSE)-HLOOKUP("Not applicable",FUT_18_Appr_Men,Age25_29, FALSE)),":")</f>
        <v>:</v>
      </c>
      <c r="N185" s="54" t="str">
        <f>IFERROR(HLOOKUP($B185,FUT_18_Appr_Women,Age25_29, FALSE)/(HLOOKUP("Total",FUT_18_Appr_Women,Age25_29, FALSE)-HLOOKUP("Not applicable",FUT_18_Appr_Women,Age25_29, FALSE)),":")</f>
        <v>:</v>
      </c>
    </row>
    <row r="186" spans="1:14" outlineLevel="1" x14ac:dyDescent="0.2">
      <c r="A186" s="50"/>
      <c r="B186" s="60" t="s">
        <v>16</v>
      </c>
      <c r="C186" s="52" t="str">
        <f>IFERROR(HLOOKUP($B186,FUT_18_Appr_Tot,Age15_29, FALSE)/(HLOOKUP("Total",FUT_18_Appr_Tot,Age15_29, FALSE)-HLOOKUP("Not applicable",FUT_18_Appr_Tot,Age15_29, FALSE)),":")</f>
        <v>:</v>
      </c>
      <c r="D186" s="53" t="str">
        <f>IFERROR(HLOOKUP($B186,FUT_18_Appr_Men,Age15_29, FALSE)/(HLOOKUP("Total",FUT_18_Appr_Men,Age15_29, FALSE)-HLOOKUP("Not applicable",FUT_18_Appr_Men,Age15_29, FALSE)),":")</f>
        <v>:</v>
      </c>
      <c r="E186" s="54" t="str">
        <f>IFERROR(HLOOKUP($B186,FUT_18_Appr_Women,Age15_29, FALSE)/(HLOOKUP("Total",FUT_18_Appr_Women,Age15_29, FALSE)-HLOOKUP("Not applicable",FUT_18_Appr_Women,Age15_29, FALSE)),":")</f>
        <v>:</v>
      </c>
      <c r="F186" s="52" t="str">
        <f>IFERROR(HLOOKUP($B186,FUT_18_Appr_Tot,Age15_19, FALSE)/(HLOOKUP("Total",FUT_18_Appr_Tot,Age15_19, FALSE)-HLOOKUP("Not applicable",FUT_18_Appr_Tot,Age15_19, FALSE)),":")</f>
        <v>:</v>
      </c>
      <c r="G186" s="53" t="str">
        <f>IFERROR(HLOOKUP($B186,FUT_18_Appr_Men,Age15_19, FALSE)/(HLOOKUP("Total",FUT_18_Appr_Men,Age15_19, FALSE)-HLOOKUP("Not applicable",FUT_18_Appr_Men,Age15_19, FALSE)),":")</f>
        <v>:</v>
      </c>
      <c r="H186" s="54" t="str">
        <f>IFERROR(HLOOKUP($B186,FUT_18_Appr_Women,Age15_19, FALSE)/(HLOOKUP("Total",FUT_18_Appr_Women,Age15_19, FALSE)-HLOOKUP("Not applicable",FUT_18_Appr_Women,Age15_19, FALSE)),":")</f>
        <v>:</v>
      </c>
      <c r="I186" s="52" t="str">
        <f>IFERROR(HLOOKUP($B186,FUT_18_Appr_Tot,Age20_24, FALSE)/(HLOOKUP("Total",FUT_18_Appr_Tot,Age20_24, FALSE)-HLOOKUP("Not applicable",FUT_18_Appr_Tot,Age20_24, FALSE)),":")</f>
        <v>:</v>
      </c>
      <c r="J186" s="53" t="str">
        <f>IFERROR(HLOOKUP($B186,FUT_18_Appr_Men,Age20_24, FALSE)/(HLOOKUP("Total",FUT_18_Appr_Men,Age20_24, FALSE)-HLOOKUP("Not applicable",FUT_18_Appr_Men,Age20_24, FALSE)),":")</f>
        <v>:</v>
      </c>
      <c r="K186" s="54" t="str">
        <f>IFERROR(HLOOKUP($B186,FUT_18_Appr_Women,Age20_24, FALSE)/(HLOOKUP("Total",FUT_18_Appr_Women,Age20_24, FALSE)-HLOOKUP("Not applicable",FUT_18_Appr_Women,Age20_24, FALSE)),":")</f>
        <v>:</v>
      </c>
      <c r="L186" s="52" t="str">
        <f>IFERROR(HLOOKUP($B186,FUT_18_Appr_Tot,Age25_29, FALSE)/(HLOOKUP("Total",FUT_18_Appr_Tot,Age25_29, FALSE)-HLOOKUP("Not applicable",FUT_18_Appr_Tot,Age25_29, FALSE)),":")</f>
        <v>:</v>
      </c>
      <c r="M186" s="53" t="str">
        <f>IFERROR(HLOOKUP($B186,FUT_18_Appr_Men,Age25_29, FALSE)/(HLOOKUP("Total",FUT_18_Appr_Men,Age25_29, FALSE)-HLOOKUP("Not applicable",FUT_18_Appr_Men,Age25_29, FALSE)),":")</f>
        <v>:</v>
      </c>
      <c r="N186" s="54" t="str">
        <f>IFERROR(HLOOKUP($B186,FUT_18_Appr_Women,Age25_29, FALSE)/(HLOOKUP("Total",FUT_18_Appr_Women,Age25_29, FALSE)-HLOOKUP("Not applicable",FUT_18_Appr_Women,Age25_29, FALSE)),":")</f>
        <v>:</v>
      </c>
    </row>
    <row r="187" spans="1:14" outlineLevel="1" x14ac:dyDescent="0.2">
      <c r="A187" s="50"/>
      <c r="B187" s="60" t="s">
        <v>17</v>
      </c>
      <c r="C187" s="52" t="str">
        <f>IFERROR(HLOOKUP($B187,FUT_18_Appr_Tot,Age15_29, FALSE)/(HLOOKUP("Total",FUT_18_Appr_Tot,Age15_29, FALSE)-HLOOKUP("Not applicable",FUT_18_Appr_Tot,Age15_29, FALSE)),":")</f>
        <v>:</v>
      </c>
      <c r="D187" s="53" t="str">
        <f>IFERROR(HLOOKUP($B187,FUT_18_Appr_Men,Age15_29, FALSE)/(HLOOKUP("Total",FUT_18_Appr_Men,Age15_29, FALSE)-HLOOKUP("Not applicable",FUT_18_Appr_Men,Age15_29, FALSE)),":")</f>
        <v>:</v>
      </c>
      <c r="E187" s="54" t="str">
        <f>IFERROR(HLOOKUP($B187,FUT_18_Appr_Women,Age15_29, FALSE)/(HLOOKUP("Total",FUT_18_Appr_Women,Age15_29, FALSE)-HLOOKUP("Not applicable",FUT_18_Appr_Women,Age15_29, FALSE)),":")</f>
        <v>:</v>
      </c>
      <c r="F187" s="52" t="str">
        <f>IFERROR(HLOOKUP($B187,FUT_18_Appr_Tot,Age15_19, FALSE)/(HLOOKUP("Total",FUT_18_Appr_Tot,Age15_19, FALSE)-HLOOKUP("Not applicable",FUT_18_Appr_Tot,Age15_19, FALSE)),":")</f>
        <v>:</v>
      </c>
      <c r="G187" s="53" t="str">
        <f>IFERROR(HLOOKUP($B187,FUT_18_Appr_Men,Age15_19, FALSE)/(HLOOKUP("Total",FUT_18_Appr_Men,Age15_19, FALSE)-HLOOKUP("Not applicable",FUT_18_Appr_Men,Age15_19, FALSE)),":")</f>
        <v>:</v>
      </c>
      <c r="H187" s="54" t="str">
        <f>IFERROR(HLOOKUP($B187,FUT_18_Appr_Women,Age15_19, FALSE)/(HLOOKUP("Total",FUT_18_Appr_Women,Age15_19, FALSE)-HLOOKUP("Not applicable",FUT_18_Appr_Women,Age15_19, FALSE)),":")</f>
        <v>:</v>
      </c>
      <c r="I187" s="52" t="str">
        <f>IFERROR(HLOOKUP($B187,FUT_18_Appr_Tot,Age20_24, FALSE)/(HLOOKUP("Total",FUT_18_Appr_Tot,Age20_24, FALSE)-HLOOKUP("Not applicable",FUT_18_Appr_Tot,Age20_24, FALSE)),":")</f>
        <v>:</v>
      </c>
      <c r="J187" s="53" t="str">
        <f>IFERROR(HLOOKUP($B187,FUT_18_Appr_Men,Age20_24, FALSE)/(HLOOKUP("Total",FUT_18_Appr_Men,Age20_24, FALSE)-HLOOKUP("Not applicable",FUT_18_Appr_Men,Age20_24, FALSE)),":")</f>
        <v>:</v>
      </c>
      <c r="K187" s="54" t="str">
        <f>IFERROR(HLOOKUP($B187,FUT_18_Appr_Women,Age20_24, FALSE)/(HLOOKUP("Total",FUT_18_Appr_Women,Age20_24, FALSE)-HLOOKUP("Not applicable",FUT_18_Appr_Women,Age20_24, FALSE)),":")</f>
        <v>:</v>
      </c>
      <c r="L187" s="52" t="str">
        <f>IFERROR(HLOOKUP($B187,FUT_18_Appr_Tot,Age25_29, FALSE)/(HLOOKUP("Total",FUT_18_Appr_Tot,Age25_29, FALSE)-HLOOKUP("Not applicable",FUT_18_Appr_Tot,Age25_29, FALSE)),":")</f>
        <v>:</v>
      </c>
      <c r="M187" s="53" t="str">
        <f>IFERROR(HLOOKUP($B187,FUT_18_Appr_Men,Age25_29, FALSE)/(HLOOKUP("Total",FUT_18_Appr_Men,Age25_29, FALSE)-HLOOKUP("Not applicable",FUT_18_Appr_Men,Age25_29, FALSE)),":")</f>
        <v>:</v>
      </c>
      <c r="N187" s="54" t="str">
        <f>IFERROR(HLOOKUP($B187,FUT_18_Appr_Women,Age25_29, FALSE)/(HLOOKUP("Total",FUT_18_Appr_Women,Age25_29, FALSE)-HLOOKUP("Not applicable",FUT_18_Appr_Women,Age25_29, FALSE)),":")</f>
        <v>:</v>
      </c>
    </row>
    <row r="188" spans="1:14" outlineLevel="1" x14ac:dyDescent="0.2">
      <c r="A188" s="50"/>
      <c r="B188" s="60" t="s">
        <v>18</v>
      </c>
      <c r="C188" s="52" t="str">
        <f>IFERROR(HLOOKUP($B188,FUT_18_Appr_Tot,Age15_29, FALSE)/(HLOOKUP("Total",FUT_18_Appr_Tot,Age15_29, FALSE)-HLOOKUP("Not applicable",FUT_18_Appr_Tot,Age15_29, FALSE)),":")</f>
        <v>:</v>
      </c>
      <c r="D188" s="53" t="str">
        <f>IFERROR(HLOOKUP($B188,FUT_18_Appr_Men,Age15_29, FALSE)/(HLOOKUP("Total",FUT_18_Appr_Men,Age15_29, FALSE)-HLOOKUP("Not applicable",FUT_18_Appr_Men,Age15_29, FALSE)),":")</f>
        <v>:</v>
      </c>
      <c r="E188" s="54" t="str">
        <f>IFERROR(HLOOKUP($B188,FUT_18_Appr_Women,Age15_29, FALSE)/(HLOOKUP("Total",FUT_18_Appr_Women,Age15_29, FALSE)-HLOOKUP("Not applicable",FUT_18_Appr_Women,Age15_29, FALSE)),":")</f>
        <v>:</v>
      </c>
      <c r="F188" s="52" t="str">
        <f>IFERROR(HLOOKUP($B188,FUT_18_Appr_Tot,Age15_19, FALSE)/(HLOOKUP("Total",FUT_18_Appr_Tot,Age15_19, FALSE)-HLOOKUP("Not applicable",FUT_18_Appr_Tot,Age15_19, FALSE)),":")</f>
        <v>:</v>
      </c>
      <c r="G188" s="53" t="str">
        <f>IFERROR(HLOOKUP($B188,FUT_18_Appr_Men,Age15_19, FALSE)/(HLOOKUP("Total",FUT_18_Appr_Men,Age15_19, FALSE)-HLOOKUP("Not applicable",FUT_18_Appr_Men,Age15_19, FALSE)),":")</f>
        <v>:</v>
      </c>
      <c r="H188" s="54" t="str">
        <f>IFERROR(HLOOKUP($B188,FUT_18_Appr_Women,Age15_19, FALSE)/(HLOOKUP("Total",FUT_18_Appr_Women,Age15_19, FALSE)-HLOOKUP("Not applicable",FUT_18_Appr_Women,Age15_19, FALSE)),":")</f>
        <v>:</v>
      </c>
      <c r="I188" s="52" t="str">
        <f>IFERROR(HLOOKUP($B188,FUT_18_Appr_Tot,Age20_24, FALSE)/(HLOOKUP("Total",FUT_18_Appr_Tot,Age20_24, FALSE)-HLOOKUP("Not applicable",FUT_18_Appr_Tot,Age20_24, FALSE)),":")</f>
        <v>:</v>
      </c>
      <c r="J188" s="53" t="str">
        <f>IFERROR(HLOOKUP($B188,FUT_18_Appr_Men,Age20_24, FALSE)/(HLOOKUP("Total",FUT_18_Appr_Men,Age20_24, FALSE)-HLOOKUP("Not applicable",FUT_18_Appr_Men,Age20_24, FALSE)),":")</f>
        <v>:</v>
      </c>
      <c r="K188" s="54" t="str">
        <f>IFERROR(HLOOKUP($B188,FUT_18_Appr_Women,Age20_24, FALSE)/(HLOOKUP("Total",FUT_18_Appr_Women,Age20_24, FALSE)-HLOOKUP("Not applicable",FUT_18_Appr_Women,Age20_24, FALSE)),":")</f>
        <v>:</v>
      </c>
      <c r="L188" s="52" t="str">
        <f>IFERROR(HLOOKUP($B188,FUT_18_Appr_Tot,Age25_29, FALSE)/(HLOOKUP("Total",FUT_18_Appr_Tot,Age25_29, FALSE)-HLOOKUP("Not applicable",FUT_18_Appr_Tot,Age25_29, FALSE)),":")</f>
        <v>:</v>
      </c>
      <c r="M188" s="53" t="str">
        <f>IFERROR(HLOOKUP($B188,FUT_18_Appr_Men,Age25_29, FALSE)/(HLOOKUP("Total",FUT_18_Appr_Men,Age25_29, FALSE)-HLOOKUP("Not applicable",FUT_18_Appr_Men,Age25_29, FALSE)),":")</f>
        <v>:</v>
      </c>
      <c r="N188" s="54" t="str">
        <f>IFERROR(HLOOKUP($B188,FUT_18_Appr_Women,Age25_29, FALSE)/(HLOOKUP("Total",FUT_18_Appr_Women,Age25_29, FALSE)-HLOOKUP("Not applicable",FUT_18_Appr_Women,Age25_29, FALSE)),":")</f>
        <v>:</v>
      </c>
    </row>
    <row r="189" spans="1:14" x14ac:dyDescent="0.2">
      <c r="A189" s="98" t="s">
        <v>186</v>
      </c>
      <c r="B189" s="103"/>
      <c r="C189" s="100" t="str">
        <f t="shared" ref="C189:E189" si="75">IF(COUNT(C190:C191)&gt;0,SUM(C190:C191),":")</f>
        <v>:</v>
      </c>
      <c r="D189" s="101" t="str">
        <f t="shared" si="75"/>
        <v>:</v>
      </c>
      <c r="E189" s="102" t="str">
        <f t="shared" si="75"/>
        <v>:</v>
      </c>
      <c r="F189" s="100" t="str">
        <f t="shared" ref="F189:K189" si="76">IF(COUNT(F190:F191)&gt;0,SUM(F190:F191),":")</f>
        <v>:</v>
      </c>
      <c r="G189" s="101" t="str">
        <f t="shared" si="76"/>
        <v>:</v>
      </c>
      <c r="H189" s="102" t="str">
        <f t="shared" si="76"/>
        <v>:</v>
      </c>
      <c r="I189" s="100" t="str">
        <f t="shared" si="76"/>
        <v>:</v>
      </c>
      <c r="J189" s="101" t="str">
        <f t="shared" si="76"/>
        <v>:</v>
      </c>
      <c r="K189" s="102" t="str">
        <f t="shared" si="76"/>
        <v>:</v>
      </c>
      <c r="L189" s="100" t="str">
        <f t="shared" ref="L189:N189" si="77">IF(COUNT(L190:L191)&gt;0,SUM(L190:L191),":")</f>
        <v>:</v>
      </c>
      <c r="M189" s="101" t="str">
        <f t="shared" si="77"/>
        <v>:</v>
      </c>
      <c r="N189" s="102" t="str">
        <f t="shared" si="77"/>
        <v>:</v>
      </c>
    </row>
    <row r="190" spans="1:14" outlineLevel="1" x14ac:dyDescent="0.2">
      <c r="A190" s="50"/>
      <c r="B190" s="60" t="s">
        <v>20</v>
      </c>
      <c r="C190" s="52" t="str">
        <f>IFERROR(HLOOKUP($B190,FUT_18_Appr_Tot,Age15_29, FALSE)/(HLOOKUP("Total",FUT_18_Appr_Tot,Age15_29, FALSE)-HLOOKUP("Not applicable",FUT_18_Appr_Tot,Age15_29, FALSE)),":")</f>
        <v>:</v>
      </c>
      <c r="D190" s="53" t="str">
        <f>IFERROR(HLOOKUP($B190,FUT_18_Appr_Men,Age15_29, FALSE)/(HLOOKUP("Total",FUT_18_Appr_Men,Age15_29, FALSE)-HLOOKUP("Not applicable",FUT_18_Appr_Men,Age15_29, FALSE)),":")</f>
        <v>:</v>
      </c>
      <c r="E190" s="54" t="str">
        <f>IFERROR(HLOOKUP($B190,FUT_18_Appr_Women,Age15_29, FALSE)/(HLOOKUP("Total",FUT_18_Appr_Women,Age15_29, FALSE)-HLOOKUP("Not applicable",FUT_18_Appr_Women,Age15_29, FALSE)),":")</f>
        <v>:</v>
      </c>
      <c r="F190" s="52" t="str">
        <f>IFERROR(HLOOKUP($B190,FUT_18_Appr_Tot,Age15_19, FALSE)/(HLOOKUP("Total",FUT_18_Appr_Tot,Age15_19, FALSE)-HLOOKUP("Not applicable",FUT_18_Appr_Tot,Age15_19, FALSE)),":")</f>
        <v>:</v>
      </c>
      <c r="G190" s="53" t="str">
        <f>IFERROR(HLOOKUP($B190,FUT_18_Appr_Men,Age15_19, FALSE)/(HLOOKUP("Total",FUT_18_Appr_Men,Age15_19, FALSE)-HLOOKUP("Not applicable",FUT_18_Appr_Men,Age15_19, FALSE)),":")</f>
        <v>:</v>
      </c>
      <c r="H190" s="54" t="str">
        <f>IFERROR(HLOOKUP($B190,FUT_18_Appr_Women,Age15_19, FALSE)/(HLOOKUP("Total",FUT_18_Appr_Women,Age15_19, FALSE)-HLOOKUP("Not applicable",FUT_18_Appr_Women,Age15_19, FALSE)),":")</f>
        <v>:</v>
      </c>
      <c r="I190" s="52" t="str">
        <f>IFERROR(HLOOKUP($B190,FUT_18_Appr_Tot,Age20_24, FALSE)/(HLOOKUP("Total",FUT_18_Appr_Tot,Age20_24, FALSE)-HLOOKUP("Not applicable",FUT_18_Appr_Tot,Age20_24, FALSE)),":")</f>
        <v>:</v>
      </c>
      <c r="J190" s="53" t="str">
        <f>IFERROR(HLOOKUP($B190,FUT_18_Appr_Men,Age20_24, FALSE)/(HLOOKUP("Total",FUT_18_Appr_Men,Age20_24, FALSE)-HLOOKUP("Not applicable",FUT_18_Appr_Men,Age20_24, FALSE)),":")</f>
        <v>:</v>
      </c>
      <c r="K190" s="54" t="str">
        <f>IFERROR(HLOOKUP($B190,FUT_18_Appr_Women,Age20_24, FALSE)/(HLOOKUP("Total",FUT_18_Appr_Women,Age20_24, FALSE)-HLOOKUP("Not applicable",FUT_18_Appr_Women,Age20_24, FALSE)),":")</f>
        <v>:</v>
      </c>
      <c r="L190" s="52" t="str">
        <f>IFERROR(HLOOKUP($B190,FUT_18_Appr_Tot,Age25_29, FALSE)/(HLOOKUP("Total",FUT_18_Appr_Tot,Age25_29, FALSE)-HLOOKUP("Not applicable",FUT_18_Appr_Tot,Age25_29, FALSE)),":")</f>
        <v>:</v>
      </c>
      <c r="M190" s="53" t="str">
        <f>IFERROR(HLOOKUP($B190,FUT_18_Appr_Men,Age25_29, FALSE)/(HLOOKUP("Total",FUT_18_Appr_Men,Age25_29, FALSE)-HLOOKUP("Not applicable",FUT_18_Appr_Men,Age25_29, FALSE)),":")</f>
        <v>:</v>
      </c>
      <c r="N190" s="54" t="str">
        <f>IFERROR(HLOOKUP($B190,FUT_18_Appr_Women,Age25_29, FALSE)/(HLOOKUP("Total",FUT_18_Appr_Women,Age25_29, FALSE)-HLOOKUP("Not applicable",FUT_18_Appr_Women,Age25_29, FALSE)),":")</f>
        <v>:</v>
      </c>
    </row>
    <row r="191" spans="1:14" outlineLevel="1" x14ac:dyDescent="0.2">
      <c r="A191" s="50"/>
      <c r="B191" s="60" t="s">
        <v>91</v>
      </c>
      <c r="C191" s="52" t="str">
        <f>IFERROR(HLOOKUP($B191,FUT_18_Appr_Tot,Age15_29, FALSE)/(HLOOKUP("Total",FUT_18_Appr_Tot,Age15_29, FALSE)-HLOOKUP("Not applicable",FUT_18_Appr_Tot,Age15_29, FALSE)),":")</f>
        <v>:</v>
      </c>
      <c r="D191" s="53" t="str">
        <f>IFERROR(HLOOKUP($B191,FUT_18_Appr_Men,Age15_29, FALSE)/(HLOOKUP("Total",FUT_18_Appr_Men,Age15_29, FALSE)-HLOOKUP("Not applicable",FUT_18_Appr_Men,Age15_29, FALSE)),":")</f>
        <v>:</v>
      </c>
      <c r="E191" s="54" t="str">
        <f>IFERROR(HLOOKUP($B191,FUT_18_Appr_Women,Age15_29, FALSE)/(HLOOKUP("Total",FUT_18_Appr_Women,Age15_29, FALSE)-HLOOKUP("Not applicable",FUT_18_Appr_Women,Age15_29, FALSE)),":")</f>
        <v>:</v>
      </c>
      <c r="F191" s="52" t="str">
        <f>IFERROR(HLOOKUP($B191,FUT_18_Appr_Tot,Age15_19, FALSE)/(HLOOKUP("Total",FUT_18_Appr_Tot,Age15_19, FALSE)-HLOOKUP("Not applicable",FUT_18_Appr_Tot,Age15_19, FALSE)),":")</f>
        <v>:</v>
      </c>
      <c r="G191" s="53" t="str">
        <f>IFERROR(HLOOKUP($B191,FUT_18_Appr_Men,Age15_19, FALSE)/(HLOOKUP("Total",FUT_18_Appr_Men,Age15_19, FALSE)-HLOOKUP("Not applicable",FUT_18_Appr_Men,Age15_19, FALSE)),":")</f>
        <v>:</v>
      </c>
      <c r="H191" s="54" t="str">
        <f>IFERROR(HLOOKUP($B191,FUT_18_Appr_Women,Age15_19, FALSE)/(HLOOKUP("Total",FUT_18_Appr_Women,Age15_19, FALSE)-HLOOKUP("Not applicable",FUT_18_Appr_Women,Age15_19, FALSE)),":")</f>
        <v>:</v>
      </c>
      <c r="I191" s="52" t="str">
        <f>IFERROR(HLOOKUP($B191,FUT_18_Appr_Tot,Age20_24, FALSE)/(HLOOKUP("Total",FUT_18_Appr_Tot,Age20_24, FALSE)-HLOOKUP("Not applicable",FUT_18_Appr_Tot,Age20_24, FALSE)),":")</f>
        <v>:</v>
      </c>
      <c r="J191" s="53" t="str">
        <f>IFERROR(HLOOKUP($B191,FUT_18_Appr_Men,Age20_24, FALSE)/(HLOOKUP("Total",FUT_18_Appr_Men,Age20_24, FALSE)-HLOOKUP("Not applicable",FUT_18_Appr_Men,Age20_24, FALSE)),":")</f>
        <v>:</v>
      </c>
      <c r="K191" s="54" t="str">
        <f>IFERROR(HLOOKUP($B191,FUT_18_Appr_Women,Age20_24, FALSE)/(HLOOKUP("Total",FUT_18_Appr_Women,Age20_24, FALSE)-HLOOKUP("Not applicable",FUT_18_Appr_Women,Age20_24, FALSE)),":")</f>
        <v>:</v>
      </c>
      <c r="L191" s="52" t="str">
        <f>IFERROR(HLOOKUP($B191,FUT_18_Appr_Tot,Age25_29, FALSE)/(HLOOKUP("Total",FUT_18_Appr_Tot,Age25_29, FALSE)-HLOOKUP("Not applicable",FUT_18_Appr_Tot,Age25_29, FALSE)),":")</f>
        <v>:</v>
      </c>
      <c r="M191" s="53" t="str">
        <f>IFERROR(HLOOKUP($B191,FUT_18_Appr_Men,Age25_29, FALSE)/(HLOOKUP("Total",FUT_18_Appr_Men,Age25_29, FALSE)-HLOOKUP("Not applicable",FUT_18_Appr_Men,Age25_29, FALSE)),":")</f>
        <v>:</v>
      </c>
      <c r="N191" s="54" t="str">
        <f>IFERROR(HLOOKUP($B191,FUT_18_Appr_Women,Age25_29, FALSE)/(HLOOKUP("Total",FUT_18_Appr_Women,Age25_29, FALSE)-HLOOKUP("Not applicable",FUT_18_Appr_Women,Age25_29, FALSE)),":")</f>
        <v>:</v>
      </c>
    </row>
    <row r="192" spans="1:14" ht="16" thickBot="1" x14ac:dyDescent="0.25">
      <c r="A192" s="104" t="s">
        <v>21</v>
      </c>
      <c r="B192" s="105"/>
      <c r="C192" s="106" t="str">
        <f>IFERROR(HLOOKUP($A192,FUT_18_Appr_Tot,Age15_29, FALSE)/(HLOOKUP("Total",FUT_18_Appr_Tot,Age15_29, FALSE)-HLOOKUP("Not applicable",FUT_18_Appr_Tot,Age15_29, FALSE)),":")</f>
        <v>:</v>
      </c>
      <c r="D192" s="107" t="str">
        <f>IFERROR(HLOOKUP($A192,FUT_18_Appr_Men,Age15_29, FALSE)/(HLOOKUP("Total",FUT_18_Appr_Men,Age15_29, FALSE)-HLOOKUP("Not applicable",FUT_18_Appr_Men,Age15_29, FALSE)),":")</f>
        <v>:</v>
      </c>
      <c r="E192" s="108" t="str">
        <f>IFERROR(HLOOKUP($A192,FUT_18_Appr_Women,Age15_29, FALSE)/(HLOOKUP("Total",FUT_18_Appr_Women,Age15_29, FALSE)-HLOOKUP("Not applicable",FUT_18_Appr_Women,Age15_29, FALSE)),":")</f>
        <v>:</v>
      </c>
      <c r="F192" s="106" t="str">
        <f>IFERROR(HLOOKUP($A192,FUT_18_Appr_Tot,Age15_19, FALSE)/(HLOOKUP("Total",FUT_18_Appr_Tot,Age15_19, FALSE)-HLOOKUP("Not applicable",FUT_18_Appr_Tot,Age15_19, FALSE)),":")</f>
        <v>:</v>
      </c>
      <c r="G192" s="107" t="str">
        <f>IFERROR(HLOOKUP($A192,FUT_18_Appr_Men,Age15_19, FALSE)/(HLOOKUP("Total",FUT_18_Appr_Men,Age15_19, FALSE)-HLOOKUP("Not applicable",FUT_18_Appr_Men,Age15_19, FALSE)),":")</f>
        <v>:</v>
      </c>
      <c r="H192" s="108" t="str">
        <f>IFERROR(HLOOKUP($A192,FUT_18_Appr_Women,Age15_19, FALSE)/(HLOOKUP("Total",FUT_18_Appr_Women,Age15_19, FALSE)-HLOOKUP("Not applicable",FUT_18_Appr_Women,Age15_19, FALSE)),":")</f>
        <v>:</v>
      </c>
      <c r="I192" s="106" t="str">
        <f>IFERROR(HLOOKUP($A192,FUT_18_Appr_Tot,Age20_24, FALSE)/(HLOOKUP("Total",FUT_18_Appr_Tot,Age20_24, FALSE)-HLOOKUP("Not applicable",FUT_18_Appr_Tot,Age20_24, FALSE)),":")</f>
        <v>:</v>
      </c>
      <c r="J192" s="107" t="str">
        <f>IFERROR(HLOOKUP($A192,FUT_18_Appr_Men,Age20_24, FALSE)/(HLOOKUP("Total",FUT_18_Appr_Men,Age20_24, FALSE)-HLOOKUP("Not applicable",FUT_18_Appr_Men,Age20_24, FALSE)),":")</f>
        <v>:</v>
      </c>
      <c r="K192" s="108" t="str">
        <f>IFERROR(HLOOKUP($A192,FUT_18_Appr_Women,Age20_24, FALSE)/(HLOOKUP("Total",FUT_18_Appr_Women,Age20_24, FALSE)-HLOOKUP("Not applicable",FUT_18_Appr_Women,Age20_24, FALSE)),":")</f>
        <v>:</v>
      </c>
      <c r="L192" s="106" t="str">
        <f>IFERROR(HLOOKUP($A192,FUT_18_Appr_Tot,Age25_29, FALSE)/(HLOOKUP("Total",FUT_18_Appr_Tot,Age25_29, FALSE)-HLOOKUP("Not applicable",FUT_18_Appr_Tot,Age25_29, FALSE)),":")</f>
        <v>:</v>
      </c>
      <c r="M192" s="107" t="str">
        <f>IFERROR(HLOOKUP($A192,FUT_18_Appr_Men,Age25_29, FALSE)/(HLOOKUP("Total",FUT_18_Appr_Men,Age25_29, FALSE)-HLOOKUP("Not applicable",FUT_18_Appr_Men,Age25_29, FALSE)),":")</f>
        <v>:</v>
      </c>
      <c r="N192" s="108" t="str">
        <f>IFERROR(HLOOKUP($A192,FUT_18_Appr_Women,Age25_29, FALSE)/(HLOOKUP("Total",FUT_18_Appr_Women,Age25_29, FALSE)-HLOOKUP("Not applicable",FUT_18_Appr_Women,Age25_29, FALSE)),":")</f>
        <v>:</v>
      </c>
    </row>
    <row r="193" spans="1:14" ht="16" thickTop="1" x14ac:dyDescent="0.2"/>
    <row r="194" spans="1:14" s="45" customFormat="1" x14ac:dyDescent="0.2">
      <c r="A194" s="45" t="s">
        <v>204</v>
      </c>
      <c r="C194" s="45" t="s">
        <v>194</v>
      </c>
    </row>
    <row r="195" spans="1:14" s="45" customFormat="1" ht="58.5" customHeight="1" x14ac:dyDescent="0.2">
      <c r="A195" s="45" t="s">
        <v>207</v>
      </c>
      <c r="C195" s="346" t="s">
        <v>585</v>
      </c>
      <c r="D195" s="346"/>
      <c r="E195" s="346"/>
      <c r="F195" s="346"/>
      <c r="G195" s="346"/>
      <c r="H195" s="346"/>
      <c r="I195" s="346"/>
      <c r="J195" s="346"/>
      <c r="K195" s="163"/>
    </row>
    <row r="196" spans="1:14" ht="16" thickBot="1" x14ac:dyDescent="0.25"/>
    <row r="197" spans="1:14" ht="15.75" customHeight="1" thickTop="1" x14ac:dyDescent="0.2">
      <c r="A197" s="352" t="s">
        <v>184</v>
      </c>
      <c r="B197" s="353"/>
      <c r="C197" s="347" t="s">
        <v>228</v>
      </c>
      <c r="D197" s="348"/>
      <c r="E197" s="349"/>
      <c r="F197" s="347" t="s">
        <v>11</v>
      </c>
      <c r="G197" s="348"/>
      <c r="H197" s="349"/>
      <c r="I197" s="356" t="s">
        <v>13</v>
      </c>
      <c r="J197" s="348"/>
      <c r="K197" s="349"/>
      <c r="L197" s="347" t="s">
        <v>227</v>
      </c>
      <c r="M197" s="348"/>
      <c r="N197" s="350"/>
    </row>
    <row r="198" spans="1:14" x14ac:dyDescent="0.2">
      <c r="A198" s="354"/>
      <c r="B198" s="355"/>
      <c r="C198" s="49" t="s">
        <v>3</v>
      </c>
      <c r="D198" s="47" t="s">
        <v>4</v>
      </c>
      <c r="E198" s="48" t="s">
        <v>5</v>
      </c>
      <c r="F198" s="49" t="s">
        <v>3</v>
      </c>
      <c r="G198" s="47" t="s">
        <v>4</v>
      </c>
      <c r="H198" s="48" t="s">
        <v>5</v>
      </c>
      <c r="I198" s="46" t="s">
        <v>3</v>
      </c>
      <c r="J198" s="47" t="s">
        <v>4</v>
      </c>
      <c r="K198" s="48" t="s">
        <v>5</v>
      </c>
      <c r="L198" s="49" t="s">
        <v>3</v>
      </c>
      <c r="M198" s="47" t="s">
        <v>4</v>
      </c>
      <c r="N198" s="164" t="s">
        <v>5</v>
      </c>
    </row>
    <row r="199" spans="1:14" x14ac:dyDescent="0.2">
      <c r="A199" s="98" t="s">
        <v>185</v>
      </c>
      <c r="B199" s="99"/>
      <c r="C199" s="100" t="str">
        <f t="shared" ref="C199:E199" si="78">IF(COUNT(C200:C203)&gt;0,SUM(C200:C203),":")</f>
        <v>:</v>
      </c>
      <c r="D199" s="101" t="str">
        <f t="shared" si="78"/>
        <v>:</v>
      </c>
      <c r="E199" s="102" t="str">
        <f t="shared" si="78"/>
        <v>:</v>
      </c>
      <c r="F199" s="100" t="str">
        <f t="shared" ref="F199:K199" si="79">IF(COUNT(F200:F203)&gt;0,SUM(F200:F203),":")</f>
        <v>:</v>
      </c>
      <c r="G199" s="101" t="str">
        <f t="shared" si="79"/>
        <v>:</v>
      </c>
      <c r="H199" s="102" t="str">
        <f t="shared" si="79"/>
        <v>:</v>
      </c>
      <c r="I199" s="100" t="str">
        <f t="shared" si="79"/>
        <v>:</v>
      </c>
      <c r="J199" s="101" t="str">
        <f t="shared" si="79"/>
        <v>:</v>
      </c>
      <c r="K199" s="102" t="str">
        <f t="shared" si="79"/>
        <v>:</v>
      </c>
      <c r="L199" s="100" t="str">
        <f t="shared" ref="L199:N199" si="80">IF(COUNT(L200:L203)&gt;0,SUM(L200:L203),":")</f>
        <v>:</v>
      </c>
      <c r="M199" s="101" t="str">
        <f t="shared" si="80"/>
        <v>:</v>
      </c>
      <c r="N199" s="102" t="str">
        <f t="shared" si="80"/>
        <v>:</v>
      </c>
    </row>
    <row r="200" spans="1:14" outlineLevel="1" x14ac:dyDescent="0.2">
      <c r="A200" s="50"/>
      <c r="B200" s="60" t="s">
        <v>15</v>
      </c>
      <c r="C200" s="52" t="str">
        <f>IFERROR(HLOOKUP($B200,FUT_6_Train_Tot,Age15_29, FALSE)/(HLOOKUP("Total",FUT_6_Train_Tot,Age15_29, FALSE)-HLOOKUP("Not applicable",FUT_6_Train_Tot,Age15_29, FALSE)),":")</f>
        <v>:</v>
      </c>
      <c r="D200" s="53" t="str">
        <f>IFERROR(HLOOKUP($B200,FUT_6_Train_Men,Age15_29, FALSE)/(HLOOKUP("Total",FUT_6_Train_Men,Age15_29, FALSE)-HLOOKUP("Not applicable",FUT_6_Train_Men,Age15_29, FALSE)),":")</f>
        <v>:</v>
      </c>
      <c r="E200" s="54" t="str">
        <f>IFERROR(HLOOKUP($B200,FUT_6_Train_Women,Age15_29, FALSE)/(HLOOKUP("Total",FUT_6_Train_Women,Age15_29, FALSE)-HLOOKUP("Not applicable",FUT_6_Train_Women,Age15_29, FALSE)),":")</f>
        <v>:</v>
      </c>
      <c r="F200" s="52" t="str">
        <f>IFERROR(HLOOKUP($B200,FUT_6_Train_Tot,Age15_19, FALSE)/(HLOOKUP("Total",FUT_6_Train_Tot,Age15_19, FALSE)-HLOOKUP("Not applicable",FUT_6_Train_Tot,Age15_19, FALSE)),":")</f>
        <v>:</v>
      </c>
      <c r="G200" s="53" t="str">
        <f>IFERROR(HLOOKUP($B200,FUT_6_Train_Men,Age15_19, FALSE)/(HLOOKUP("Total",FUT_6_Train_Men,Age15_19, FALSE)-HLOOKUP("Not applicable",FUT_6_Train_Men,Age15_19, FALSE)),":")</f>
        <v>:</v>
      </c>
      <c r="H200" s="54" t="str">
        <f>IFERROR(HLOOKUP($B200,FUT_6_Train_Women,Age15_19, FALSE)/(HLOOKUP("Total",FUT_6_Train_Women,Age15_19, FALSE)-HLOOKUP("Not applicable",FUT_6_Train_Women,Age15_19, FALSE)),":")</f>
        <v>:</v>
      </c>
      <c r="I200" s="52" t="str">
        <f>IFERROR(HLOOKUP($B200,FUT_6_Train_Tot,Age20_24, FALSE)/(HLOOKUP("Total",FUT_6_Train_Tot,Age20_24, FALSE)-HLOOKUP("Not applicable",FUT_6_Train_Tot,Age20_24, FALSE)),":")</f>
        <v>:</v>
      </c>
      <c r="J200" s="53" t="str">
        <f>IFERROR(HLOOKUP($B200,FUT_6_Train_Men,Age20_24, FALSE)/(HLOOKUP("Total",FUT_6_Train_Men,Age20_24, FALSE)-HLOOKUP("Not applicable",FUT_6_Train_Men,Age20_24, FALSE)),":")</f>
        <v>:</v>
      </c>
      <c r="K200" s="54" t="str">
        <f>IFERROR(HLOOKUP($B200,FUT_6_Train_Women,Age20_24, FALSE)/(HLOOKUP("Total",FUT_6_Train_Women,Age20_24, FALSE)-HLOOKUP("Not applicable",FUT_6_Train_Women,Age20_24, FALSE)),":")</f>
        <v>:</v>
      </c>
      <c r="L200" s="52" t="str">
        <f>IFERROR(HLOOKUP($B200,FUT_6_Train_Tot,Age25_29, FALSE)/(HLOOKUP("Total",FUT_6_Train_Tot,Age25_29, FALSE)-HLOOKUP("Not applicable",FUT_6_Train_Tot,Age25_29, FALSE)),":")</f>
        <v>:</v>
      </c>
      <c r="M200" s="53" t="str">
        <f>IFERROR(HLOOKUP($B200,FUT_6_Train_Men,Age25_29, FALSE)/(HLOOKUP("Total",FUT_6_Train_Men,Age25_29, FALSE)-HLOOKUP("Not applicable",FUT_6_Train_Men,Age25_29, FALSE)),":")</f>
        <v>:</v>
      </c>
      <c r="N200" s="54" t="str">
        <f>IFERROR(HLOOKUP($B200,FUT_6_Train_Women,Age25_29, FALSE)/(HLOOKUP("Total",FUT_6_Train_Women,Age25_29, FALSE)-HLOOKUP("Not applicable",FUT_6_Train_Women,Age25_29, FALSE)),":")</f>
        <v>:</v>
      </c>
    </row>
    <row r="201" spans="1:14" outlineLevel="1" x14ac:dyDescent="0.2">
      <c r="A201" s="50"/>
      <c r="B201" s="60" t="s">
        <v>16</v>
      </c>
      <c r="C201" s="52" t="str">
        <f>IFERROR(HLOOKUP($B201,FUT_6_Train_Tot,Age15_29, FALSE)/(HLOOKUP("Total",FUT_6_Train_Tot,Age15_29, FALSE)-HLOOKUP("Not applicable",FUT_6_Train_Tot,Age15_29, FALSE)),":")</f>
        <v>:</v>
      </c>
      <c r="D201" s="53" t="str">
        <f>IFERROR(HLOOKUP($B201,FUT_6_Train_Men,Age15_29, FALSE)/(HLOOKUP("Total",FUT_6_Train_Men,Age15_29, FALSE)-HLOOKUP("Not applicable",FUT_6_Train_Men,Age15_29, FALSE)),":")</f>
        <v>:</v>
      </c>
      <c r="E201" s="54" t="str">
        <f>IFERROR(HLOOKUP($B201,FUT_6_Train_Women,Age15_29, FALSE)/(HLOOKUP("Total",FUT_6_Train_Women,Age15_29, FALSE)-HLOOKUP("Not applicable",FUT_6_Train_Women,Age15_29, FALSE)),":")</f>
        <v>:</v>
      </c>
      <c r="F201" s="52" t="str">
        <f>IFERROR(HLOOKUP($B201,FUT_6_Train_Tot,Age15_19, FALSE)/(HLOOKUP("Total",FUT_6_Train_Tot,Age15_19, FALSE)-HLOOKUP("Not applicable",FUT_6_Train_Tot,Age15_19, FALSE)),":")</f>
        <v>:</v>
      </c>
      <c r="G201" s="53" t="str">
        <f>IFERROR(HLOOKUP($B201,FUT_6_Train_Men,Age15_19, FALSE)/(HLOOKUP("Total",FUT_6_Train_Men,Age15_19, FALSE)-HLOOKUP("Not applicable",FUT_6_Train_Men,Age15_19, FALSE)),":")</f>
        <v>:</v>
      </c>
      <c r="H201" s="54" t="str">
        <f>IFERROR(HLOOKUP($B201,FUT_6_Train_Women,Age15_19, FALSE)/(HLOOKUP("Total",FUT_6_Train_Women,Age15_19, FALSE)-HLOOKUP("Not applicable",FUT_6_Train_Women,Age15_19, FALSE)),":")</f>
        <v>:</v>
      </c>
      <c r="I201" s="52" t="str">
        <f>IFERROR(HLOOKUP($B201,FUT_6_Train_Tot,Age20_24, FALSE)/(HLOOKUP("Total",FUT_6_Train_Tot,Age20_24, FALSE)-HLOOKUP("Not applicable",FUT_6_Train_Tot,Age20_24, FALSE)),":")</f>
        <v>:</v>
      </c>
      <c r="J201" s="53" t="str">
        <f>IFERROR(HLOOKUP($B201,FUT_6_Train_Men,Age20_24, FALSE)/(HLOOKUP("Total",FUT_6_Train_Men,Age20_24, FALSE)-HLOOKUP("Not applicable",FUT_6_Train_Men,Age20_24, FALSE)),":")</f>
        <v>:</v>
      </c>
      <c r="K201" s="54" t="str">
        <f>IFERROR(HLOOKUP($B201,FUT_6_Train_Women,Age20_24, FALSE)/(HLOOKUP("Total",FUT_6_Train_Women,Age20_24, FALSE)-HLOOKUP("Not applicable",FUT_6_Train_Women,Age20_24, FALSE)),":")</f>
        <v>:</v>
      </c>
      <c r="L201" s="52" t="str">
        <f>IFERROR(HLOOKUP($B201,FUT_6_Train_Tot,Age25_29, FALSE)/(HLOOKUP("Total",FUT_6_Train_Tot,Age25_29, FALSE)-HLOOKUP("Not applicable",FUT_6_Train_Tot,Age25_29, FALSE)),":")</f>
        <v>:</v>
      </c>
      <c r="M201" s="53" t="str">
        <f>IFERROR(HLOOKUP($B201,FUT_6_Train_Men,Age25_29, FALSE)/(HLOOKUP("Total",FUT_6_Train_Men,Age25_29, FALSE)-HLOOKUP("Not applicable",FUT_6_Train_Men,Age25_29, FALSE)),":")</f>
        <v>:</v>
      </c>
      <c r="N201" s="54" t="str">
        <f>IFERROR(HLOOKUP($B201,FUT_6_Train_Women,Age25_29, FALSE)/(HLOOKUP("Total",FUT_6_Train_Women,Age25_29, FALSE)-HLOOKUP("Not applicable",FUT_6_Train_Women,Age25_29, FALSE)),":")</f>
        <v>:</v>
      </c>
    </row>
    <row r="202" spans="1:14" outlineLevel="1" x14ac:dyDescent="0.2">
      <c r="A202" s="50"/>
      <c r="B202" s="60" t="s">
        <v>17</v>
      </c>
      <c r="C202" s="52" t="str">
        <f>IFERROR(HLOOKUP($B202,FUT_6_Train_Tot,Age15_29, FALSE)/(HLOOKUP("Total",FUT_6_Train_Tot,Age15_29, FALSE)-HLOOKUP("Not applicable",FUT_6_Train_Tot,Age15_29, FALSE)),":")</f>
        <v>:</v>
      </c>
      <c r="D202" s="53" t="str">
        <f>IFERROR(HLOOKUP($B202,FUT_6_Train_Men,Age15_29, FALSE)/(HLOOKUP("Total",FUT_6_Train_Men,Age15_29, FALSE)-HLOOKUP("Not applicable",FUT_6_Train_Men,Age15_29, FALSE)),":")</f>
        <v>:</v>
      </c>
      <c r="E202" s="54" t="str">
        <f>IFERROR(HLOOKUP($B202,FUT_6_Train_Women,Age15_29, FALSE)/(HLOOKUP("Total",FUT_6_Train_Women,Age15_29, FALSE)-HLOOKUP("Not applicable",FUT_6_Train_Women,Age15_29, FALSE)),":")</f>
        <v>:</v>
      </c>
      <c r="F202" s="52" t="str">
        <f>IFERROR(HLOOKUP($B202,FUT_6_Train_Tot,Age15_19, FALSE)/(HLOOKUP("Total",FUT_6_Train_Tot,Age15_19, FALSE)-HLOOKUP("Not applicable",FUT_6_Train_Tot,Age15_19, FALSE)),":")</f>
        <v>:</v>
      </c>
      <c r="G202" s="53" t="str">
        <f>IFERROR(HLOOKUP($B202,FUT_6_Train_Men,Age15_19, FALSE)/(HLOOKUP("Total",FUT_6_Train_Men,Age15_19, FALSE)-HLOOKUP("Not applicable",FUT_6_Train_Men,Age15_19, FALSE)),":")</f>
        <v>:</v>
      </c>
      <c r="H202" s="54" t="str">
        <f>IFERROR(HLOOKUP($B202,FUT_6_Train_Women,Age15_19, FALSE)/(HLOOKUP("Total",FUT_6_Train_Women,Age15_19, FALSE)-HLOOKUP("Not applicable",FUT_6_Train_Women,Age15_19, FALSE)),":")</f>
        <v>:</v>
      </c>
      <c r="I202" s="52" t="str">
        <f>IFERROR(HLOOKUP($B202,FUT_6_Train_Tot,Age20_24, FALSE)/(HLOOKUP("Total",FUT_6_Train_Tot,Age20_24, FALSE)-HLOOKUP("Not applicable",FUT_6_Train_Tot,Age20_24, FALSE)),":")</f>
        <v>:</v>
      </c>
      <c r="J202" s="53" t="str">
        <f>IFERROR(HLOOKUP($B202,FUT_6_Train_Men,Age20_24, FALSE)/(HLOOKUP("Total",FUT_6_Train_Men,Age20_24, FALSE)-HLOOKUP("Not applicable",FUT_6_Train_Men,Age20_24, FALSE)),":")</f>
        <v>:</v>
      </c>
      <c r="K202" s="54" t="str">
        <f>IFERROR(HLOOKUP($B202,FUT_6_Train_Women,Age20_24, FALSE)/(HLOOKUP("Total",FUT_6_Train_Women,Age20_24, FALSE)-HLOOKUP("Not applicable",FUT_6_Train_Women,Age20_24, FALSE)),":")</f>
        <v>:</v>
      </c>
      <c r="L202" s="52" t="str">
        <f>IFERROR(HLOOKUP($B202,FUT_6_Train_Tot,Age25_29, FALSE)/(HLOOKUP("Total",FUT_6_Train_Tot,Age25_29, FALSE)-HLOOKUP("Not applicable",FUT_6_Train_Tot,Age25_29, FALSE)),":")</f>
        <v>:</v>
      </c>
      <c r="M202" s="53" t="str">
        <f>IFERROR(HLOOKUP($B202,FUT_6_Train_Men,Age25_29, FALSE)/(HLOOKUP("Total",FUT_6_Train_Men,Age25_29, FALSE)-HLOOKUP("Not applicable",FUT_6_Train_Men,Age25_29, FALSE)),":")</f>
        <v>:</v>
      </c>
      <c r="N202" s="54" t="str">
        <f>IFERROR(HLOOKUP($B202,FUT_6_Train_Women,Age25_29, FALSE)/(HLOOKUP("Total",FUT_6_Train_Women,Age25_29, FALSE)-HLOOKUP("Not applicable",FUT_6_Train_Women,Age25_29, FALSE)),":")</f>
        <v>:</v>
      </c>
    </row>
    <row r="203" spans="1:14" outlineLevel="1" x14ac:dyDescent="0.2">
      <c r="A203" s="50"/>
      <c r="B203" s="60" t="s">
        <v>18</v>
      </c>
      <c r="C203" s="52" t="str">
        <f>IFERROR(HLOOKUP($B203,FUT_6_Train_Tot,Age15_29, FALSE)/(HLOOKUP("Total",FUT_6_Train_Tot,Age15_29, FALSE)-HLOOKUP("Not applicable",FUT_6_Train_Tot,Age15_29, FALSE)),":")</f>
        <v>:</v>
      </c>
      <c r="D203" s="53" t="str">
        <f>IFERROR(HLOOKUP($B203,FUT_6_Train_Men,Age15_29, FALSE)/(HLOOKUP("Total",FUT_6_Train_Men,Age15_29, FALSE)-HLOOKUP("Not applicable",FUT_6_Train_Men,Age15_29, FALSE)),":")</f>
        <v>:</v>
      </c>
      <c r="E203" s="54" t="str">
        <f>IFERROR(HLOOKUP($B203,FUT_6_Train_Women,Age15_29, FALSE)/(HLOOKUP("Total",FUT_6_Train_Women,Age15_29, FALSE)-HLOOKUP("Not applicable",FUT_6_Train_Women,Age15_29, FALSE)),":")</f>
        <v>:</v>
      </c>
      <c r="F203" s="52" t="str">
        <f>IFERROR(HLOOKUP($B203,FUT_6_Train_Tot,Age15_19, FALSE)/(HLOOKUP("Total",FUT_6_Train_Tot,Age15_19, FALSE)-HLOOKUP("Not applicable",FUT_6_Train_Tot,Age15_19, FALSE)),":")</f>
        <v>:</v>
      </c>
      <c r="G203" s="53" t="str">
        <f>IFERROR(HLOOKUP($B203,FUT_6_Train_Men,Age15_19, FALSE)/(HLOOKUP("Total",FUT_6_Train_Men,Age15_19, FALSE)-HLOOKUP("Not applicable",FUT_6_Train_Men,Age15_19, FALSE)),":")</f>
        <v>:</v>
      </c>
      <c r="H203" s="54" t="str">
        <f>IFERROR(HLOOKUP($B203,FUT_6_Train_Women,Age15_19, FALSE)/(HLOOKUP("Total",FUT_6_Train_Women,Age15_19, FALSE)-HLOOKUP("Not applicable",FUT_6_Train_Women,Age15_19, FALSE)),":")</f>
        <v>:</v>
      </c>
      <c r="I203" s="52" t="str">
        <f>IFERROR(HLOOKUP($B203,FUT_6_Train_Tot,Age20_24, FALSE)/(HLOOKUP("Total",FUT_6_Train_Tot,Age20_24, FALSE)-HLOOKUP("Not applicable",FUT_6_Train_Tot,Age20_24, FALSE)),":")</f>
        <v>:</v>
      </c>
      <c r="J203" s="53" t="str">
        <f>IFERROR(HLOOKUP($B203,FUT_6_Train_Men,Age20_24, FALSE)/(HLOOKUP("Total",FUT_6_Train_Men,Age20_24, FALSE)-HLOOKUP("Not applicable",FUT_6_Train_Men,Age20_24, FALSE)),":")</f>
        <v>:</v>
      </c>
      <c r="K203" s="54" t="str">
        <f>IFERROR(HLOOKUP($B203,FUT_6_Train_Women,Age20_24, FALSE)/(HLOOKUP("Total",FUT_6_Train_Women,Age20_24, FALSE)-HLOOKUP("Not applicable",FUT_6_Train_Women,Age20_24, FALSE)),":")</f>
        <v>:</v>
      </c>
      <c r="L203" s="52" t="str">
        <f>IFERROR(HLOOKUP($B203,FUT_6_Train_Tot,Age25_29, FALSE)/(HLOOKUP("Total",FUT_6_Train_Tot,Age25_29, FALSE)-HLOOKUP("Not applicable",FUT_6_Train_Tot,Age25_29, FALSE)),":")</f>
        <v>:</v>
      </c>
      <c r="M203" s="53" t="str">
        <f>IFERROR(HLOOKUP($B203,FUT_6_Train_Men,Age25_29, FALSE)/(HLOOKUP("Total",FUT_6_Train_Men,Age25_29, FALSE)-HLOOKUP("Not applicable",FUT_6_Train_Men,Age25_29, FALSE)),":")</f>
        <v>:</v>
      </c>
      <c r="N203" s="54" t="str">
        <f>IFERROR(HLOOKUP($B203,FUT_6_Train_Women,Age25_29, FALSE)/(HLOOKUP("Total",FUT_6_Train_Women,Age25_29, FALSE)-HLOOKUP("Not applicable",FUT_6_Train_Women,Age25_29, FALSE)),":")</f>
        <v>:</v>
      </c>
    </row>
    <row r="204" spans="1:14" x14ac:dyDescent="0.2">
      <c r="A204" s="98" t="s">
        <v>186</v>
      </c>
      <c r="B204" s="103"/>
      <c r="C204" s="100" t="str">
        <f t="shared" ref="C204:E204" si="81">IF(COUNT(C205:C206)&gt;0,SUM(C205:C206),":")</f>
        <v>:</v>
      </c>
      <c r="D204" s="101" t="str">
        <f t="shared" si="81"/>
        <v>:</v>
      </c>
      <c r="E204" s="102" t="str">
        <f t="shared" si="81"/>
        <v>:</v>
      </c>
      <c r="F204" s="100" t="str">
        <f t="shared" ref="F204:K204" si="82">IF(COUNT(F205:F206)&gt;0,SUM(F205:F206),":")</f>
        <v>:</v>
      </c>
      <c r="G204" s="101" t="str">
        <f t="shared" si="82"/>
        <v>:</v>
      </c>
      <c r="H204" s="102" t="str">
        <f t="shared" si="82"/>
        <v>:</v>
      </c>
      <c r="I204" s="100" t="str">
        <f t="shared" si="82"/>
        <v>:</v>
      </c>
      <c r="J204" s="101" t="str">
        <f t="shared" si="82"/>
        <v>:</v>
      </c>
      <c r="K204" s="102" t="str">
        <f t="shared" si="82"/>
        <v>:</v>
      </c>
      <c r="L204" s="100" t="str">
        <f t="shared" ref="L204:N204" si="83">IF(COUNT(L205:L206)&gt;0,SUM(L205:L206),":")</f>
        <v>:</v>
      </c>
      <c r="M204" s="101" t="str">
        <f t="shared" si="83"/>
        <v>:</v>
      </c>
      <c r="N204" s="102" t="str">
        <f t="shared" si="83"/>
        <v>:</v>
      </c>
    </row>
    <row r="205" spans="1:14" outlineLevel="1" x14ac:dyDescent="0.2">
      <c r="A205" s="50"/>
      <c r="B205" s="60" t="s">
        <v>20</v>
      </c>
      <c r="C205" s="52" t="str">
        <f>IFERROR(HLOOKUP($B205,FUT_6_Train_Tot,Age15_29, FALSE)/(HLOOKUP("Total",FUT_6_Train_Tot,Age15_29, FALSE)-HLOOKUP("Not applicable",FUT_6_Train_Tot,Age15_29, FALSE)),":")</f>
        <v>:</v>
      </c>
      <c r="D205" s="53" t="str">
        <f>IFERROR(HLOOKUP($B205,FUT_6_Train_Men,Age15_29, FALSE)/(HLOOKUP("Total",FUT_6_Train_Men,Age15_29, FALSE)-HLOOKUP("Not applicable",FUT_6_Train_Men,Age15_29, FALSE)),":")</f>
        <v>:</v>
      </c>
      <c r="E205" s="54" t="str">
        <f>IFERROR(HLOOKUP($B205,FUT_6_Train_Women,Age15_29, FALSE)/(HLOOKUP("Total",FUT_6_Train_Women,Age15_29, FALSE)-HLOOKUP("Not applicable",FUT_6_Train_Women,Age15_29, FALSE)),":")</f>
        <v>:</v>
      </c>
      <c r="F205" s="52" t="str">
        <f>IFERROR(HLOOKUP($B205,FUT_6_Train_Tot,Age15_19, FALSE)/(HLOOKUP("Total",FUT_6_Train_Tot,Age15_19, FALSE)-HLOOKUP("Not applicable",FUT_6_Train_Tot,Age15_19, FALSE)),":")</f>
        <v>:</v>
      </c>
      <c r="G205" s="53" t="str">
        <f>IFERROR(HLOOKUP($B205,FUT_6_Train_Men,Age15_19, FALSE)/(HLOOKUP("Total",FUT_6_Train_Men,Age15_19, FALSE)-HLOOKUP("Not applicable",FUT_6_Train_Men,Age15_19, FALSE)),":")</f>
        <v>:</v>
      </c>
      <c r="H205" s="54" t="str">
        <f>IFERROR(HLOOKUP($B205,FUT_6_Train_Women,Age15_19, FALSE)/(HLOOKUP("Total",FUT_6_Train_Women,Age15_19, FALSE)-HLOOKUP("Not applicable",FUT_6_Train_Women,Age15_19, FALSE)),":")</f>
        <v>:</v>
      </c>
      <c r="I205" s="52" t="str">
        <f>IFERROR(HLOOKUP($B205,FUT_6_Train_Tot,Age20_24, FALSE)/(HLOOKUP("Total",FUT_6_Train_Tot,Age20_24, FALSE)-HLOOKUP("Not applicable",FUT_6_Train_Tot,Age20_24, FALSE)),":")</f>
        <v>:</v>
      </c>
      <c r="J205" s="53" t="str">
        <f>IFERROR(HLOOKUP($B205,FUT_6_Train_Men,Age20_24, FALSE)/(HLOOKUP("Total",FUT_6_Train_Men,Age20_24, FALSE)-HLOOKUP("Not applicable",FUT_6_Train_Men,Age20_24, FALSE)),":")</f>
        <v>:</v>
      </c>
      <c r="K205" s="54" t="str">
        <f>IFERROR(HLOOKUP($B205,FUT_6_Train_Women,Age20_24, FALSE)/(HLOOKUP("Total",FUT_6_Train_Women,Age20_24, FALSE)-HLOOKUP("Not applicable",FUT_6_Train_Women,Age20_24, FALSE)),":")</f>
        <v>:</v>
      </c>
      <c r="L205" s="52" t="str">
        <f>IFERROR(HLOOKUP($B205,FUT_6_Train_Tot,Age25_29, FALSE)/(HLOOKUP("Total",FUT_6_Train_Tot,Age25_29, FALSE)-HLOOKUP("Not applicable",FUT_6_Train_Tot,Age25_29, FALSE)),":")</f>
        <v>:</v>
      </c>
      <c r="M205" s="53" t="str">
        <f>IFERROR(HLOOKUP($B205,FUT_6_Train_Men,Age25_29, FALSE)/(HLOOKUP("Total",FUT_6_Train_Men,Age25_29, FALSE)-HLOOKUP("Not applicable",FUT_6_Train_Men,Age25_29, FALSE)),":")</f>
        <v>:</v>
      </c>
      <c r="N205" s="54" t="str">
        <f>IFERROR(HLOOKUP($B205,FUT_6_Train_Women,Age25_29, FALSE)/(HLOOKUP("Total",FUT_6_Train_Women,Age25_29, FALSE)-HLOOKUP("Not applicable",FUT_6_Train_Women,Age25_29, FALSE)),":")</f>
        <v>:</v>
      </c>
    </row>
    <row r="206" spans="1:14" outlineLevel="1" x14ac:dyDescent="0.2">
      <c r="A206" s="50"/>
      <c r="B206" s="60" t="s">
        <v>91</v>
      </c>
      <c r="C206" s="52" t="str">
        <f>IFERROR(HLOOKUP($B206,FUT_6_Train_Tot,Age15_29, FALSE)/(HLOOKUP("Total",FUT_6_Train_Tot,Age15_29, FALSE)-HLOOKUP("Not applicable",FUT_6_Train_Tot,Age15_29, FALSE)),":")</f>
        <v>:</v>
      </c>
      <c r="D206" s="53" t="str">
        <f>IFERROR(HLOOKUP($B206,FUT_6_Train_Men,Age15_29, FALSE)/(HLOOKUP("Total",FUT_6_Train_Men,Age15_29, FALSE)-HLOOKUP("Not applicable",FUT_6_Train_Men,Age15_29, FALSE)),":")</f>
        <v>:</v>
      </c>
      <c r="E206" s="54" t="str">
        <f>IFERROR(HLOOKUP($B206,FUT_6_Train_Women,Age15_29, FALSE)/(HLOOKUP("Total",FUT_6_Train_Women,Age15_29, FALSE)-HLOOKUP("Not applicable",FUT_6_Train_Women,Age15_29, FALSE)),":")</f>
        <v>:</v>
      </c>
      <c r="F206" s="52" t="str">
        <f>IFERROR(HLOOKUP($B206,FUT_6_Train_Tot,Age15_19, FALSE)/(HLOOKUP("Total",FUT_6_Train_Tot,Age15_19, FALSE)-HLOOKUP("Not applicable",FUT_6_Train_Tot,Age15_19, FALSE)),":")</f>
        <v>:</v>
      </c>
      <c r="G206" s="53" t="str">
        <f>IFERROR(HLOOKUP($B206,FUT_6_Train_Men,Age15_19, FALSE)/(HLOOKUP("Total",FUT_6_Train_Men,Age15_19, FALSE)-HLOOKUP("Not applicable",FUT_6_Train_Men,Age15_19, FALSE)),":")</f>
        <v>:</v>
      </c>
      <c r="H206" s="54" t="str">
        <f>IFERROR(HLOOKUP($B206,FUT_6_Train_Women,Age15_19, FALSE)/(HLOOKUP("Total",FUT_6_Train_Women,Age15_19, FALSE)-HLOOKUP("Not applicable",FUT_6_Train_Women,Age15_19, FALSE)),":")</f>
        <v>:</v>
      </c>
      <c r="I206" s="52" t="str">
        <f>IFERROR(HLOOKUP($B206,FUT_6_Train_Tot,Age20_24, FALSE)/(HLOOKUP("Total",FUT_6_Train_Tot,Age20_24, FALSE)-HLOOKUP("Not applicable",FUT_6_Train_Tot,Age20_24, FALSE)),":")</f>
        <v>:</v>
      </c>
      <c r="J206" s="53" t="str">
        <f>IFERROR(HLOOKUP($B206,FUT_6_Train_Men,Age20_24, FALSE)/(HLOOKUP("Total",FUT_6_Train_Men,Age20_24, FALSE)-HLOOKUP("Not applicable",FUT_6_Train_Men,Age20_24, FALSE)),":")</f>
        <v>:</v>
      </c>
      <c r="K206" s="54" t="str">
        <f>IFERROR(HLOOKUP($B206,FUT_6_Train_Women,Age20_24, FALSE)/(HLOOKUP("Total",FUT_6_Train_Women,Age20_24, FALSE)-HLOOKUP("Not applicable",FUT_6_Train_Women,Age20_24, FALSE)),":")</f>
        <v>:</v>
      </c>
      <c r="L206" s="52" t="str">
        <f>IFERROR(HLOOKUP($B206,FUT_6_Train_Tot,Age25_29, FALSE)/(HLOOKUP("Total",FUT_6_Train_Tot,Age25_29, FALSE)-HLOOKUP("Not applicable",FUT_6_Train_Tot,Age25_29, FALSE)),":")</f>
        <v>:</v>
      </c>
      <c r="M206" s="53" t="str">
        <f>IFERROR(HLOOKUP($B206,FUT_6_Train_Men,Age25_29, FALSE)/(HLOOKUP("Total",FUT_6_Train_Men,Age25_29, FALSE)-HLOOKUP("Not applicable",FUT_6_Train_Men,Age25_29, FALSE)),":")</f>
        <v>:</v>
      </c>
      <c r="N206" s="54" t="str">
        <f>IFERROR(HLOOKUP($B206,FUT_6_Train_Women,Age25_29, FALSE)/(HLOOKUP("Total",FUT_6_Train_Women,Age25_29, FALSE)-HLOOKUP("Not applicable",FUT_6_Train_Women,Age25_29, FALSE)),":")</f>
        <v>:</v>
      </c>
    </row>
    <row r="207" spans="1:14" ht="16" thickBot="1" x14ac:dyDescent="0.25">
      <c r="A207" s="104" t="s">
        <v>21</v>
      </c>
      <c r="B207" s="105"/>
      <c r="C207" s="106" t="str">
        <f>IFERROR(HLOOKUP($A207,FUT_6_Train_Tot,Age15_29, FALSE)/(HLOOKUP("Total",FUT_6_Train_Tot,Age15_29, FALSE)-HLOOKUP("Not applicable",FUT_6_Train_Tot,Age15_29, FALSE)),":")</f>
        <v>:</v>
      </c>
      <c r="D207" s="107" t="str">
        <f>IFERROR(HLOOKUP($A207,FUT_6_Train_Men,Age15_29, FALSE)/(HLOOKUP("Total",FUT_6_Train_Men,Age15_29, FALSE)-HLOOKUP("Not applicable",FUT_6_Train_Men,Age15_29, FALSE)),":")</f>
        <v>:</v>
      </c>
      <c r="E207" s="108" t="str">
        <f>IFERROR(HLOOKUP($A207,FUT_6_Train_Women,Age15_29, FALSE)/(HLOOKUP("Total",FUT_6_Train_Women,Age15_29, FALSE)-HLOOKUP("Not applicable",FUT_6_Train_Women,Age15_29, FALSE)),":")</f>
        <v>:</v>
      </c>
      <c r="F207" s="106" t="str">
        <f>IFERROR(HLOOKUP($A207,FUT_6_Train_Tot,Age15_19, FALSE)/(HLOOKUP("Total",FUT_6_Train_Tot,Age15_19, FALSE)-HLOOKUP("Not applicable",FUT_6_Train_Tot,Age15_19, FALSE)),":")</f>
        <v>:</v>
      </c>
      <c r="G207" s="107" t="str">
        <f>IFERROR(HLOOKUP($A207,FUT_6_Train_Men,Age15_19, FALSE)/(HLOOKUP("Total",FUT_6_Train_Men,Age15_19, FALSE)-HLOOKUP("Not applicable",FUT_6_Train_Men,Age15_19, FALSE)),":")</f>
        <v>:</v>
      </c>
      <c r="H207" s="108" t="str">
        <f>IFERROR(HLOOKUP($A207,FUT_6_Train_Women,Age15_19, FALSE)/(HLOOKUP("Total",FUT_6_Train_Women,Age15_19, FALSE)-HLOOKUP("Not applicable",FUT_6_Train_Women,Age15_19, FALSE)),":")</f>
        <v>:</v>
      </c>
      <c r="I207" s="106" t="str">
        <f>IFERROR(HLOOKUP($A207,FUT_6_Train_Tot,Age20_24, FALSE)/(HLOOKUP("Total",FUT_6_Train_Tot,Age20_24, FALSE)-HLOOKUP("Not applicable",FUT_6_Train_Tot,Age20_24, FALSE)),":")</f>
        <v>:</v>
      </c>
      <c r="J207" s="107" t="str">
        <f>IFERROR(HLOOKUP($A207,FUT_6_Train_Men,Age20_24, FALSE)/(HLOOKUP("Total",FUT_6_Train_Men,Age20_24, FALSE)-HLOOKUP("Not applicable",FUT_6_Train_Men,Age20_24, FALSE)),":")</f>
        <v>:</v>
      </c>
      <c r="K207" s="108" t="str">
        <f>IFERROR(HLOOKUP($A207,FUT_6_Train_Women,Age20_24, FALSE)/(HLOOKUP("Total",FUT_6_Train_Women,Age20_24, FALSE)-HLOOKUP("Not applicable",FUT_6_Train_Women,Age20_24, FALSE)),":")</f>
        <v>:</v>
      </c>
      <c r="L207" s="106" t="str">
        <f>IFERROR(HLOOKUP($A207,FUT_6_Train_Tot,Age25_29, FALSE)/(HLOOKUP("Total",FUT_6_Train_Tot,Age25_29, FALSE)-HLOOKUP("Not applicable",FUT_6_Train_Tot,Age25_29, FALSE)),":")</f>
        <v>:</v>
      </c>
      <c r="M207" s="107" t="str">
        <f>IFERROR(HLOOKUP($A207,FUT_6_Train_Men,Age25_29, FALSE)/(HLOOKUP("Total",FUT_6_Train_Men,Age25_29, FALSE)-HLOOKUP("Not applicable",FUT_6_Train_Men,Age25_29, FALSE)),":")</f>
        <v>:</v>
      </c>
      <c r="N207" s="108" t="str">
        <f>IFERROR(HLOOKUP($A207,FUT_6_Train_Women,Age25_29, FALSE)/(HLOOKUP("Total",FUT_6_Train_Women,Age25_29, FALSE)-HLOOKUP("Not applicable",FUT_6_Train_Women,Age25_29, FALSE)),":")</f>
        <v>:</v>
      </c>
    </row>
    <row r="208" spans="1:14" ht="17" thickTop="1" thickBot="1" x14ac:dyDescent="0.25"/>
    <row r="209" spans="1:14" ht="16" thickTop="1" x14ac:dyDescent="0.2">
      <c r="A209" s="352" t="s">
        <v>189</v>
      </c>
      <c r="B209" s="353"/>
      <c r="C209" s="347" t="s">
        <v>228</v>
      </c>
      <c r="D209" s="348"/>
      <c r="E209" s="349"/>
      <c r="F209" s="347" t="s">
        <v>11</v>
      </c>
      <c r="G209" s="348"/>
      <c r="H209" s="349"/>
      <c r="I209" s="356" t="s">
        <v>13</v>
      </c>
      <c r="J209" s="348"/>
      <c r="K209" s="349"/>
      <c r="L209" s="347" t="s">
        <v>227</v>
      </c>
      <c r="M209" s="348"/>
      <c r="N209" s="350"/>
    </row>
    <row r="210" spans="1:14" x14ac:dyDescent="0.2">
      <c r="A210" s="354"/>
      <c r="B210" s="355"/>
      <c r="C210" s="49" t="s">
        <v>3</v>
      </c>
      <c r="D210" s="47" t="s">
        <v>4</v>
      </c>
      <c r="E210" s="48" t="s">
        <v>5</v>
      </c>
      <c r="F210" s="49" t="s">
        <v>3</v>
      </c>
      <c r="G210" s="47" t="s">
        <v>4</v>
      </c>
      <c r="H210" s="48" t="s">
        <v>5</v>
      </c>
      <c r="I210" s="46" t="s">
        <v>3</v>
      </c>
      <c r="J210" s="47" t="s">
        <v>4</v>
      </c>
      <c r="K210" s="48" t="s">
        <v>5</v>
      </c>
      <c r="L210" s="49" t="s">
        <v>3</v>
      </c>
      <c r="M210" s="47" t="s">
        <v>4</v>
      </c>
      <c r="N210" s="164" t="s">
        <v>5</v>
      </c>
    </row>
    <row r="211" spans="1:14" x14ac:dyDescent="0.2">
      <c r="A211" s="98" t="s">
        <v>185</v>
      </c>
      <c r="B211" s="99"/>
      <c r="C211" s="100" t="str">
        <f t="shared" ref="C211:E211" si="84">IF(COUNT(C212:C215)&gt;0,SUM(C212:C215),":")</f>
        <v>:</v>
      </c>
      <c r="D211" s="101" t="str">
        <f t="shared" si="84"/>
        <v>:</v>
      </c>
      <c r="E211" s="102" t="str">
        <f t="shared" si="84"/>
        <v>:</v>
      </c>
      <c r="F211" s="100" t="str">
        <f t="shared" ref="F211:K211" si="85">IF(COUNT(F212:F215)&gt;0,SUM(F212:F215),":")</f>
        <v>:</v>
      </c>
      <c r="G211" s="101" t="str">
        <f t="shared" si="85"/>
        <v>:</v>
      </c>
      <c r="H211" s="102" t="str">
        <f t="shared" si="85"/>
        <v>:</v>
      </c>
      <c r="I211" s="100" t="str">
        <f t="shared" si="85"/>
        <v>:</v>
      </c>
      <c r="J211" s="101" t="str">
        <f t="shared" si="85"/>
        <v>:</v>
      </c>
      <c r="K211" s="102" t="str">
        <f t="shared" si="85"/>
        <v>:</v>
      </c>
      <c r="L211" s="100" t="str">
        <f t="shared" ref="L211:N211" si="86">IF(COUNT(L212:L215)&gt;0,SUM(L212:L215),":")</f>
        <v>:</v>
      </c>
      <c r="M211" s="101" t="str">
        <f t="shared" si="86"/>
        <v>:</v>
      </c>
      <c r="N211" s="102" t="str">
        <f t="shared" si="86"/>
        <v>:</v>
      </c>
    </row>
    <row r="212" spans="1:14" outlineLevel="1" x14ac:dyDescent="0.2">
      <c r="A212" s="50"/>
      <c r="B212" s="60" t="s">
        <v>15</v>
      </c>
      <c r="C212" s="52" t="str">
        <f>IFERROR(HLOOKUP($B212,FUT_12_Train_Tot,Age15_29, FALSE)/(HLOOKUP("Total",FUT_12_Train_Tot,Age15_29, FALSE)-HLOOKUP("Not applicable",FUT_12_Train_Tot,Age15_29, FALSE)),":")</f>
        <v>:</v>
      </c>
      <c r="D212" s="53" t="str">
        <f>IFERROR(HLOOKUP($B212,FUT_12_Train_Men,Age15_29, FALSE)/(HLOOKUP("Total",FUT_12_Train_Men,Age15_29, FALSE)-HLOOKUP("Not applicable",FUT_12_Train_Men,Age15_29, FALSE)),":")</f>
        <v>:</v>
      </c>
      <c r="E212" s="54" t="str">
        <f>IFERROR(HLOOKUP($B212,FUT_12_Train_Women,Age15_29, FALSE)/(HLOOKUP("Total",FUT_12_Train_Women,Age15_29, FALSE)-HLOOKUP("Not applicable",FUT_12_Train_Women,Age15_29, FALSE)),":")</f>
        <v>:</v>
      </c>
      <c r="F212" s="52" t="str">
        <f>IFERROR(HLOOKUP($B212,FUT_12_Train_Tot,Age15_19, FALSE)/(HLOOKUP("Total",FUT_12_Train_Tot,Age15_19, FALSE)-HLOOKUP("Not applicable",FUT_12_Train_Tot,Age15_19, FALSE)),":")</f>
        <v>:</v>
      </c>
      <c r="G212" s="53" t="str">
        <f>IFERROR(HLOOKUP($B212,FUT_12_Train_Men,Age15_19, FALSE)/(HLOOKUP("Total",FUT_12_Train_Men,Age15_19, FALSE)-HLOOKUP("Not applicable",FUT_12_Train_Men,Age15_19, FALSE)),":")</f>
        <v>:</v>
      </c>
      <c r="H212" s="54" t="str">
        <f>IFERROR(HLOOKUP($B212,FUT_12_Train_Women,Age15_19, FALSE)/(HLOOKUP("Total",FUT_12_Train_Women,Age15_19, FALSE)-HLOOKUP("Not applicable",FUT_12_Train_Women,Age15_19, FALSE)),":")</f>
        <v>:</v>
      </c>
      <c r="I212" s="52" t="str">
        <f>IFERROR(HLOOKUP($B212,FUT_12_Train_Tot,Age20_24, FALSE)/(HLOOKUP("Total",FUT_12_Train_Tot,Age20_24, FALSE)-HLOOKUP("Not applicable",FUT_12_Train_Tot,Age20_24, FALSE)),":")</f>
        <v>:</v>
      </c>
      <c r="J212" s="53" t="str">
        <f>IFERROR(HLOOKUP($B212,FUT_12_Train_Men,Age20_24, FALSE)/(HLOOKUP("Total",FUT_12_Train_Men,Age20_24, FALSE)-HLOOKUP("Not applicable",FUT_12_Train_Men,Age20_24, FALSE)),":")</f>
        <v>:</v>
      </c>
      <c r="K212" s="54" t="str">
        <f>IFERROR(HLOOKUP($B212,FUT_12_Train_Women,Age20_24, FALSE)/(HLOOKUP("Total",FUT_12_Train_Women,Age20_24, FALSE)-HLOOKUP("Not applicable",FUT_12_Train_Women,Age20_24, FALSE)),":")</f>
        <v>:</v>
      </c>
      <c r="L212" s="52" t="str">
        <f>IFERROR(HLOOKUP($B212,FUT_12_Train_Tot,Age25_29, FALSE)/(HLOOKUP("Total",FUT_12_Train_Tot,Age25_29, FALSE)-HLOOKUP("Not applicable",FUT_12_Train_Tot,Age25_29, FALSE)),":")</f>
        <v>:</v>
      </c>
      <c r="M212" s="53" t="str">
        <f>IFERROR(HLOOKUP($B212,FUT_12_Train_Men,Age25_29, FALSE)/(HLOOKUP("Total",FUT_12_Train_Men,Age25_29, FALSE)-HLOOKUP("Not applicable",FUT_12_Train_Men,Age25_29, FALSE)),":")</f>
        <v>:</v>
      </c>
      <c r="N212" s="54" t="str">
        <f>IFERROR(HLOOKUP($B212,FUT_12_Train_Women,Age25_29, FALSE)/(HLOOKUP("Total",FUT_12_Train_Women,Age25_29, FALSE)-HLOOKUP("Not applicable",FUT_12_Train_Women,Age25_29, FALSE)),":")</f>
        <v>:</v>
      </c>
    </row>
    <row r="213" spans="1:14" outlineLevel="1" x14ac:dyDescent="0.2">
      <c r="A213" s="50"/>
      <c r="B213" s="60" t="s">
        <v>16</v>
      </c>
      <c r="C213" s="52" t="str">
        <f>IFERROR(HLOOKUP($B213,FUT_12_Train_Tot,Age15_29, FALSE)/(HLOOKUP("Total",FUT_12_Train_Tot,Age15_29, FALSE)-HLOOKUP("Not applicable",FUT_12_Train_Tot,Age15_29, FALSE)),":")</f>
        <v>:</v>
      </c>
      <c r="D213" s="53" t="str">
        <f>IFERROR(HLOOKUP($B213,FUT_12_Train_Men,Age15_29, FALSE)/(HLOOKUP("Total",FUT_12_Train_Men,Age15_29, FALSE)-HLOOKUP("Not applicable",FUT_12_Train_Men,Age15_29, FALSE)),":")</f>
        <v>:</v>
      </c>
      <c r="E213" s="54" t="str">
        <f>IFERROR(HLOOKUP($B213,FUT_12_Train_Women,Age15_29, FALSE)/(HLOOKUP("Total",FUT_12_Train_Women,Age15_29, FALSE)-HLOOKUP("Not applicable",FUT_12_Train_Women,Age15_29, FALSE)),":")</f>
        <v>:</v>
      </c>
      <c r="F213" s="52" t="str">
        <f>IFERROR(HLOOKUP($B213,FUT_12_Train_Tot,Age15_19, FALSE)/(HLOOKUP("Total",FUT_12_Train_Tot,Age15_19, FALSE)-HLOOKUP("Not applicable",FUT_12_Train_Tot,Age15_19, FALSE)),":")</f>
        <v>:</v>
      </c>
      <c r="G213" s="53" t="str">
        <f>IFERROR(HLOOKUP($B213,FUT_12_Train_Men,Age15_19, FALSE)/(HLOOKUP("Total",FUT_12_Train_Men,Age15_19, FALSE)-HLOOKUP("Not applicable",FUT_12_Train_Men,Age15_19, FALSE)),":")</f>
        <v>:</v>
      </c>
      <c r="H213" s="54" t="str">
        <f>IFERROR(HLOOKUP($B213,FUT_12_Train_Women,Age15_19, FALSE)/(HLOOKUP("Total",FUT_12_Train_Women,Age15_19, FALSE)-HLOOKUP("Not applicable",FUT_12_Train_Women,Age15_19, FALSE)),":")</f>
        <v>:</v>
      </c>
      <c r="I213" s="52" t="str">
        <f>IFERROR(HLOOKUP($B213,FUT_12_Train_Tot,Age20_24, FALSE)/(HLOOKUP("Total",FUT_12_Train_Tot,Age20_24, FALSE)-HLOOKUP("Not applicable",FUT_12_Train_Tot,Age20_24, FALSE)),":")</f>
        <v>:</v>
      </c>
      <c r="J213" s="53" t="str">
        <f>IFERROR(HLOOKUP($B213,FUT_12_Train_Men,Age20_24, FALSE)/(HLOOKUP("Total",FUT_12_Train_Men,Age20_24, FALSE)-HLOOKUP("Not applicable",FUT_12_Train_Men,Age20_24, FALSE)),":")</f>
        <v>:</v>
      </c>
      <c r="K213" s="54" t="str">
        <f>IFERROR(HLOOKUP($B213,FUT_12_Train_Women,Age20_24, FALSE)/(HLOOKUP("Total",FUT_12_Train_Women,Age20_24, FALSE)-HLOOKUP("Not applicable",FUT_12_Train_Women,Age20_24, FALSE)),":")</f>
        <v>:</v>
      </c>
      <c r="L213" s="52" t="str">
        <f>IFERROR(HLOOKUP($B213,FUT_12_Train_Tot,Age25_29, FALSE)/(HLOOKUP("Total",FUT_12_Train_Tot,Age25_29, FALSE)-HLOOKUP("Not applicable",FUT_12_Train_Tot,Age25_29, FALSE)),":")</f>
        <v>:</v>
      </c>
      <c r="M213" s="53" t="str">
        <f>IFERROR(HLOOKUP($B213,FUT_12_Train_Men,Age25_29, FALSE)/(HLOOKUP("Total",FUT_12_Train_Men,Age25_29, FALSE)-HLOOKUP("Not applicable",FUT_12_Train_Men,Age25_29, FALSE)),":")</f>
        <v>:</v>
      </c>
      <c r="N213" s="54" t="str">
        <f>IFERROR(HLOOKUP($B213,FUT_12_Train_Women,Age25_29, FALSE)/(HLOOKUP("Total",FUT_12_Train_Women,Age25_29, FALSE)-HLOOKUP("Not applicable",FUT_12_Train_Women,Age25_29, FALSE)),":")</f>
        <v>:</v>
      </c>
    </row>
    <row r="214" spans="1:14" outlineLevel="1" x14ac:dyDescent="0.2">
      <c r="A214" s="50"/>
      <c r="B214" s="60" t="s">
        <v>17</v>
      </c>
      <c r="C214" s="52" t="str">
        <f>IFERROR(HLOOKUP($B214,FUT_12_Train_Tot,Age15_29, FALSE)/(HLOOKUP("Total",FUT_12_Train_Tot,Age15_29, FALSE)-HLOOKUP("Not applicable",FUT_12_Train_Tot,Age15_29, FALSE)),":")</f>
        <v>:</v>
      </c>
      <c r="D214" s="53" t="str">
        <f>IFERROR(HLOOKUP($B214,FUT_12_Train_Men,Age15_29, FALSE)/(HLOOKUP("Total",FUT_12_Train_Men,Age15_29, FALSE)-HLOOKUP("Not applicable",FUT_12_Train_Men,Age15_29, FALSE)),":")</f>
        <v>:</v>
      </c>
      <c r="E214" s="54" t="str">
        <f>IFERROR(HLOOKUP($B214,FUT_12_Train_Women,Age15_29, FALSE)/(HLOOKUP("Total",FUT_12_Train_Women,Age15_29, FALSE)-HLOOKUP("Not applicable",FUT_12_Train_Women,Age15_29, FALSE)),":")</f>
        <v>:</v>
      </c>
      <c r="F214" s="52" t="str">
        <f>IFERROR(HLOOKUP($B214,FUT_12_Train_Tot,Age15_19, FALSE)/(HLOOKUP("Total",FUT_12_Train_Tot,Age15_19, FALSE)-HLOOKUP("Not applicable",FUT_12_Train_Tot,Age15_19, FALSE)),":")</f>
        <v>:</v>
      </c>
      <c r="G214" s="53" t="str">
        <f>IFERROR(HLOOKUP($B214,FUT_12_Train_Men,Age15_19, FALSE)/(HLOOKUP("Total",FUT_12_Train_Men,Age15_19, FALSE)-HLOOKUP("Not applicable",FUT_12_Train_Men,Age15_19, FALSE)),":")</f>
        <v>:</v>
      </c>
      <c r="H214" s="54" t="str">
        <f>IFERROR(HLOOKUP($B214,FUT_12_Train_Women,Age15_19, FALSE)/(HLOOKUP("Total",FUT_12_Train_Women,Age15_19, FALSE)-HLOOKUP("Not applicable",FUT_12_Train_Women,Age15_19, FALSE)),":")</f>
        <v>:</v>
      </c>
      <c r="I214" s="52" t="str">
        <f>IFERROR(HLOOKUP($B214,FUT_12_Train_Tot,Age20_24, FALSE)/(HLOOKUP("Total",FUT_12_Train_Tot,Age20_24, FALSE)-HLOOKUP("Not applicable",FUT_12_Train_Tot,Age20_24, FALSE)),":")</f>
        <v>:</v>
      </c>
      <c r="J214" s="53" t="str">
        <f>IFERROR(HLOOKUP($B214,FUT_12_Train_Men,Age20_24, FALSE)/(HLOOKUP("Total",FUT_12_Train_Men,Age20_24, FALSE)-HLOOKUP("Not applicable",FUT_12_Train_Men,Age20_24, FALSE)),":")</f>
        <v>:</v>
      </c>
      <c r="K214" s="54" t="str">
        <f>IFERROR(HLOOKUP($B214,FUT_12_Train_Women,Age20_24, FALSE)/(HLOOKUP("Total",FUT_12_Train_Women,Age20_24, FALSE)-HLOOKUP("Not applicable",FUT_12_Train_Women,Age20_24, FALSE)),":")</f>
        <v>:</v>
      </c>
      <c r="L214" s="52" t="str">
        <f>IFERROR(HLOOKUP($B214,FUT_12_Train_Tot,Age25_29, FALSE)/(HLOOKUP("Total",FUT_12_Train_Tot,Age25_29, FALSE)-HLOOKUP("Not applicable",FUT_12_Train_Tot,Age25_29, FALSE)),":")</f>
        <v>:</v>
      </c>
      <c r="M214" s="53" t="str">
        <f>IFERROR(HLOOKUP($B214,FUT_12_Train_Men,Age25_29, FALSE)/(HLOOKUP("Total",FUT_12_Train_Men,Age25_29, FALSE)-HLOOKUP("Not applicable",FUT_12_Train_Men,Age25_29, FALSE)),":")</f>
        <v>:</v>
      </c>
      <c r="N214" s="54" t="str">
        <f>IFERROR(HLOOKUP($B214,FUT_12_Train_Women,Age25_29, FALSE)/(HLOOKUP("Total",FUT_12_Train_Women,Age25_29, FALSE)-HLOOKUP("Not applicable",FUT_12_Train_Women,Age25_29, FALSE)),":")</f>
        <v>:</v>
      </c>
    </row>
    <row r="215" spans="1:14" outlineLevel="1" x14ac:dyDescent="0.2">
      <c r="A215" s="50"/>
      <c r="B215" s="60" t="s">
        <v>18</v>
      </c>
      <c r="C215" s="52" t="str">
        <f>IFERROR(HLOOKUP($B215,FUT_12_Train_Tot,Age15_29, FALSE)/(HLOOKUP("Total",FUT_12_Train_Tot,Age15_29, FALSE)-HLOOKUP("Not applicable",FUT_12_Train_Tot,Age15_29, FALSE)),":")</f>
        <v>:</v>
      </c>
      <c r="D215" s="53" t="str">
        <f>IFERROR(HLOOKUP($B215,FUT_12_Train_Men,Age15_29, FALSE)/(HLOOKUP("Total",FUT_12_Train_Men,Age15_29, FALSE)-HLOOKUP("Not applicable",FUT_12_Train_Men,Age15_29, FALSE)),":")</f>
        <v>:</v>
      </c>
      <c r="E215" s="54" t="str">
        <f>IFERROR(HLOOKUP($B215,FUT_12_Train_Women,Age15_29, FALSE)/(HLOOKUP("Total",FUT_12_Train_Women,Age15_29, FALSE)-HLOOKUP("Not applicable",FUT_12_Train_Women,Age15_29, FALSE)),":")</f>
        <v>:</v>
      </c>
      <c r="F215" s="52" t="str">
        <f>IFERROR(HLOOKUP($B215,FUT_12_Train_Tot,Age15_19, FALSE)/(HLOOKUP("Total",FUT_12_Train_Tot,Age15_19, FALSE)-HLOOKUP("Not applicable",FUT_12_Train_Tot,Age15_19, FALSE)),":")</f>
        <v>:</v>
      </c>
      <c r="G215" s="53" t="str">
        <f>IFERROR(HLOOKUP($B215,FUT_12_Train_Men,Age15_19, FALSE)/(HLOOKUP("Total",FUT_12_Train_Men,Age15_19, FALSE)-HLOOKUP("Not applicable",FUT_12_Train_Men,Age15_19, FALSE)),":")</f>
        <v>:</v>
      </c>
      <c r="H215" s="54" t="str">
        <f>IFERROR(HLOOKUP($B215,FUT_12_Train_Women,Age15_19, FALSE)/(HLOOKUP("Total",FUT_12_Train_Women,Age15_19, FALSE)-HLOOKUP("Not applicable",FUT_12_Train_Women,Age15_19, FALSE)),":")</f>
        <v>:</v>
      </c>
      <c r="I215" s="52" t="str">
        <f>IFERROR(HLOOKUP($B215,FUT_12_Train_Tot,Age20_24, FALSE)/(HLOOKUP("Total",FUT_12_Train_Tot,Age20_24, FALSE)-HLOOKUP("Not applicable",FUT_12_Train_Tot,Age20_24, FALSE)),":")</f>
        <v>:</v>
      </c>
      <c r="J215" s="53" t="str">
        <f>IFERROR(HLOOKUP($B215,FUT_12_Train_Men,Age20_24, FALSE)/(HLOOKUP("Total",FUT_12_Train_Men,Age20_24, FALSE)-HLOOKUP("Not applicable",FUT_12_Train_Men,Age20_24, FALSE)),":")</f>
        <v>:</v>
      </c>
      <c r="K215" s="54" t="str">
        <f>IFERROR(HLOOKUP($B215,FUT_12_Train_Women,Age20_24, FALSE)/(HLOOKUP("Total",FUT_12_Train_Women,Age20_24, FALSE)-HLOOKUP("Not applicable",FUT_12_Train_Women,Age20_24, FALSE)),":")</f>
        <v>:</v>
      </c>
      <c r="L215" s="52" t="str">
        <f>IFERROR(HLOOKUP($B215,FUT_12_Train_Tot,Age25_29, FALSE)/(HLOOKUP("Total",FUT_12_Train_Tot,Age25_29, FALSE)-HLOOKUP("Not applicable",FUT_12_Train_Tot,Age25_29, FALSE)),":")</f>
        <v>:</v>
      </c>
      <c r="M215" s="53" t="str">
        <f>IFERROR(HLOOKUP($B215,FUT_12_Train_Men,Age25_29, FALSE)/(HLOOKUP("Total",FUT_12_Train_Men,Age25_29, FALSE)-HLOOKUP("Not applicable",FUT_12_Train_Men,Age25_29, FALSE)),":")</f>
        <v>:</v>
      </c>
      <c r="N215" s="54" t="str">
        <f>IFERROR(HLOOKUP($B215,FUT_12_Train_Women,Age25_29, FALSE)/(HLOOKUP("Total",FUT_12_Train_Women,Age25_29, FALSE)-HLOOKUP("Not applicable",FUT_12_Train_Women,Age25_29, FALSE)),":")</f>
        <v>:</v>
      </c>
    </row>
    <row r="216" spans="1:14" x14ac:dyDescent="0.2">
      <c r="A216" s="98" t="s">
        <v>186</v>
      </c>
      <c r="B216" s="103"/>
      <c r="C216" s="100" t="str">
        <f t="shared" ref="C216:E216" si="87">IF(COUNT(C217:C218)&gt;0,SUM(C217:C218),":")</f>
        <v>:</v>
      </c>
      <c r="D216" s="101" t="str">
        <f t="shared" si="87"/>
        <v>:</v>
      </c>
      <c r="E216" s="102" t="str">
        <f t="shared" si="87"/>
        <v>:</v>
      </c>
      <c r="F216" s="100" t="str">
        <f t="shared" ref="F216:K216" si="88">IF(COUNT(F217:F218)&gt;0,SUM(F217:F218),":")</f>
        <v>:</v>
      </c>
      <c r="G216" s="101" t="str">
        <f t="shared" si="88"/>
        <v>:</v>
      </c>
      <c r="H216" s="102" t="str">
        <f t="shared" si="88"/>
        <v>:</v>
      </c>
      <c r="I216" s="100" t="str">
        <f t="shared" si="88"/>
        <v>:</v>
      </c>
      <c r="J216" s="101" t="str">
        <f t="shared" si="88"/>
        <v>:</v>
      </c>
      <c r="K216" s="102" t="str">
        <f t="shared" si="88"/>
        <v>:</v>
      </c>
      <c r="L216" s="100" t="str">
        <f t="shared" ref="L216:N216" si="89">IF(COUNT(L217:L218)&gt;0,SUM(L217:L218),":")</f>
        <v>:</v>
      </c>
      <c r="M216" s="101" t="str">
        <f t="shared" si="89"/>
        <v>:</v>
      </c>
      <c r="N216" s="102" t="str">
        <f t="shared" si="89"/>
        <v>:</v>
      </c>
    </row>
    <row r="217" spans="1:14" outlineLevel="1" x14ac:dyDescent="0.2">
      <c r="A217" s="50"/>
      <c r="B217" s="60" t="s">
        <v>20</v>
      </c>
      <c r="C217" s="52" t="str">
        <f>IFERROR(HLOOKUP($B217,FUT_12_Train_Tot,Age15_29, FALSE)/(HLOOKUP("Total",FUT_12_Train_Tot,Age15_29, FALSE)-HLOOKUP("Not applicable",FUT_12_Train_Tot,Age15_29, FALSE)),":")</f>
        <v>:</v>
      </c>
      <c r="D217" s="53" t="str">
        <f>IFERROR(HLOOKUP($B217,FUT_12_Train_Men,Age15_29, FALSE)/(HLOOKUP("Total",FUT_12_Train_Men,Age15_29, FALSE)-HLOOKUP("Not applicable",FUT_12_Train_Men,Age15_29, FALSE)),":")</f>
        <v>:</v>
      </c>
      <c r="E217" s="54" t="str">
        <f>IFERROR(HLOOKUP($B217,FUT_12_Train_Women,Age15_29, FALSE)/(HLOOKUP("Total",FUT_12_Train_Women,Age15_29, FALSE)-HLOOKUP("Not applicable",FUT_12_Train_Women,Age15_29, FALSE)),":")</f>
        <v>:</v>
      </c>
      <c r="F217" s="52" t="str">
        <f>IFERROR(HLOOKUP($B217,FUT_12_Train_Tot,Age15_19, FALSE)/(HLOOKUP("Total",FUT_12_Train_Tot,Age15_19, FALSE)-HLOOKUP("Not applicable",FUT_12_Train_Tot,Age15_19, FALSE)),":")</f>
        <v>:</v>
      </c>
      <c r="G217" s="53" t="str">
        <f>IFERROR(HLOOKUP($B217,FUT_12_Train_Men,Age15_19, FALSE)/(HLOOKUP("Total",FUT_12_Train_Men,Age15_19, FALSE)-HLOOKUP("Not applicable",FUT_12_Train_Men,Age15_19, FALSE)),":")</f>
        <v>:</v>
      </c>
      <c r="H217" s="54" t="str">
        <f>IFERROR(HLOOKUP($B217,FUT_12_Train_Women,Age15_19, FALSE)/(HLOOKUP("Total",FUT_12_Train_Women,Age15_19, FALSE)-HLOOKUP("Not applicable",FUT_12_Train_Women,Age15_19, FALSE)),":")</f>
        <v>:</v>
      </c>
      <c r="I217" s="52" t="str">
        <f>IFERROR(HLOOKUP($B217,FUT_12_Train_Tot,Age20_24, FALSE)/(HLOOKUP("Total",FUT_12_Train_Tot,Age20_24, FALSE)-HLOOKUP("Not applicable",FUT_12_Train_Tot,Age20_24, FALSE)),":")</f>
        <v>:</v>
      </c>
      <c r="J217" s="53" t="str">
        <f>IFERROR(HLOOKUP($B217,FUT_12_Train_Men,Age20_24, FALSE)/(HLOOKUP("Total",FUT_12_Train_Men,Age20_24, FALSE)-HLOOKUP("Not applicable",FUT_12_Train_Men,Age20_24, FALSE)),":")</f>
        <v>:</v>
      </c>
      <c r="K217" s="54" t="str">
        <f>IFERROR(HLOOKUP($B217,FUT_12_Train_Women,Age20_24, FALSE)/(HLOOKUP("Total",FUT_12_Train_Women,Age20_24, FALSE)-HLOOKUP("Not applicable",FUT_12_Train_Women,Age20_24, FALSE)),":")</f>
        <v>:</v>
      </c>
      <c r="L217" s="52" t="str">
        <f>IFERROR(HLOOKUP($B217,FUT_12_Train_Tot,Age25_29, FALSE)/(HLOOKUP("Total",FUT_12_Train_Tot,Age25_29, FALSE)-HLOOKUP("Not applicable",FUT_12_Train_Tot,Age25_29, FALSE)),":")</f>
        <v>:</v>
      </c>
      <c r="M217" s="53" t="str">
        <f>IFERROR(HLOOKUP($B217,FUT_12_Train_Men,Age25_29, FALSE)/(HLOOKUP("Total",FUT_12_Train_Men,Age25_29, FALSE)-HLOOKUP("Not applicable",FUT_12_Train_Men,Age25_29, FALSE)),":")</f>
        <v>:</v>
      </c>
      <c r="N217" s="54" t="str">
        <f>IFERROR(HLOOKUP($B217,FUT_12_Train_Women,Age25_29, FALSE)/(HLOOKUP("Total",FUT_12_Train_Women,Age25_29, FALSE)-HLOOKUP("Not applicable",FUT_12_Train_Women,Age25_29, FALSE)),":")</f>
        <v>:</v>
      </c>
    </row>
    <row r="218" spans="1:14" outlineLevel="1" x14ac:dyDescent="0.2">
      <c r="A218" s="50"/>
      <c r="B218" s="60" t="s">
        <v>91</v>
      </c>
      <c r="C218" s="52" t="str">
        <f>IFERROR(HLOOKUP($B218,FUT_12_Train_Tot,Age15_29, FALSE)/(HLOOKUP("Total",FUT_12_Train_Tot,Age15_29, FALSE)-HLOOKUP("Not applicable",FUT_12_Train_Tot,Age15_29, FALSE)),":")</f>
        <v>:</v>
      </c>
      <c r="D218" s="53" t="str">
        <f>IFERROR(HLOOKUP($B218,FUT_12_Train_Men,Age15_29, FALSE)/(HLOOKUP("Total",FUT_12_Train_Men,Age15_29, FALSE)-HLOOKUP("Not applicable",FUT_12_Train_Men,Age15_29, FALSE)),":")</f>
        <v>:</v>
      </c>
      <c r="E218" s="54" t="str">
        <f>IFERROR(HLOOKUP($B218,FUT_12_Train_Women,Age15_29, FALSE)/(HLOOKUP("Total",FUT_12_Train_Women,Age15_29, FALSE)-HLOOKUP("Not applicable",FUT_12_Train_Women,Age15_29, FALSE)),":")</f>
        <v>:</v>
      </c>
      <c r="F218" s="52" t="str">
        <f>IFERROR(HLOOKUP($B218,FUT_12_Train_Tot,Age15_19, FALSE)/(HLOOKUP("Total",FUT_12_Train_Tot,Age15_19, FALSE)-HLOOKUP("Not applicable",FUT_12_Train_Tot,Age15_19, FALSE)),":")</f>
        <v>:</v>
      </c>
      <c r="G218" s="53" t="str">
        <f>IFERROR(HLOOKUP($B218,FUT_12_Train_Men,Age15_19, FALSE)/(HLOOKUP("Total",FUT_12_Train_Men,Age15_19, FALSE)-HLOOKUP("Not applicable",FUT_12_Train_Men,Age15_19, FALSE)),":")</f>
        <v>:</v>
      </c>
      <c r="H218" s="54" t="str">
        <f>IFERROR(HLOOKUP($B218,FUT_12_Train_Women,Age15_19, FALSE)/(HLOOKUP("Total",FUT_12_Train_Women,Age15_19, FALSE)-HLOOKUP("Not applicable",FUT_12_Train_Women,Age15_19, FALSE)),":")</f>
        <v>:</v>
      </c>
      <c r="I218" s="52" t="str">
        <f>IFERROR(HLOOKUP($B218,FUT_12_Train_Tot,Age20_24, FALSE)/(HLOOKUP("Total",FUT_12_Train_Tot,Age20_24, FALSE)-HLOOKUP("Not applicable",FUT_12_Train_Tot,Age20_24, FALSE)),":")</f>
        <v>:</v>
      </c>
      <c r="J218" s="53" t="str">
        <f>IFERROR(HLOOKUP($B218,FUT_12_Train_Men,Age20_24, FALSE)/(HLOOKUP("Total",FUT_12_Train_Men,Age20_24, FALSE)-HLOOKUP("Not applicable",FUT_12_Train_Men,Age20_24, FALSE)),":")</f>
        <v>:</v>
      </c>
      <c r="K218" s="54" t="str">
        <f>IFERROR(HLOOKUP($B218,FUT_12_Train_Women,Age20_24, FALSE)/(HLOOKUP("Total",FUT_12_Train_Women,Age20_24, FALSE)-HLOOKUP("Not applicable",FUT_12_Train_Women,Age20_24, FALSE)),":")</f>
        <v>:</v>
      </c>
      <c r="L218" s="52" t="str">
        <f>IFERROR(HLOOKUP($B218,FUT_12_Train_Tot,Age25_29, FALSE)/(HLOOKUP("Total",FUT_12_Train_Tot,Age25_29, FALSE)-HLOOKUP("Not applicable",FUT_12_Train_Tot,Age25_29, FALSE)),":")</f>
        <v>:</v>
      </c>
      <c r="M218" s="53" t="str">
        <f>IFERROR(HLOOKUP($B218,FUT_12_Train_Men,Age25_29, FALSE)/(HLOOKUP("Total",FUT_12_Train_Men,Age25_29, FALSE)-HLOOKUP("Not applicable",FUT_12_Train_Men,Age25_29, FALSE)),":")</f>
        <v>:</v>
      </c>
      <c r="N218" s="54" t="str">
        <f>IFERROR(HLOOKUP($B218,FUT_12_Train_Women,Age25_29, FALSE)/(HLOOKUP("Total",FUT_12_Train_Women,Age25_29, FALSE)-HLOOKUP("Not applicable",FUT_12_Train_Women,Age25_29, FALSE)),":")</f>
        <v>:</v>
      </c>
    </row>
    <row r="219" spans="1:14" ht="16" thickBot="1" x14ac:dyDescent="0.25">
      <c r="A219" s="104" t="s">
        <v>21</v>
      </c>
      <c r="B219" s="105"/>
      <c r="C219" s="106" t="str">
        <f>IFERROR(HLOOKUP($A219,FUT_12_Train_Tot,Age15_29, FALSE)/(HLOOKUP("Total",FUT_12_Train_Tot,Age15_29, FALSE)-HLOOKUP("Not applicable",FUT_12_Train_Tot,Age15_29, FALSE)),":")</f>
        <v>:</v>
      </c>
      <c r="D219" s="107" t="str">
        <f>IFERROR(HLOOKUP($A219,FUT_12_Train_Men,Age15_29, FALSE)/(HLOOKUP("Total",FUT_12_Train_Men,Age15_29, FALSE)-HLOOKUP("Not applicable",FUT_12_Train_Men,Age15_29, FALSE)),":")</f>
        <v>:</v>
      </c>
      <c r="E219" s="108" t="str">
        <f>IFERROR(HLOOKUP($A219,FUT_12_Train_Women,Age15_29, FALSE)/(HLOOKUP("Total",FUT_12_Train_Women,Age15_29, FALSE)-HLOOKUP("Not applicable",FUT_12_Train_Women,Age15_29, FALSE)),":")</f>
        <v>:</v>
      </c>
      <c r="F219" s="106" t="str">
        <f>IFERROR(HLOOKUP($A219,FUT_12_Train_Tot,Age15_19, FALSE)/(HLOOKUP("Total",FUT_12_Train_Tot,Age15_19, FALSE)-HLOOKUP("Not applicable",FUT_12_Train_Tot,Age15_19, FALSE)),":")</f>
        <v>:</v>
      </c>
      <c r="G219" s="107" t="str">
        <f>IFERROR(HLOOKUP($A219,FUT_12_Train_Men,Age15_19, FALSE)/(HLOOKUP("Total",FUT_12_Train_Men,Age15_19, FALSE)-HLOOKUP("Not applicable",FUT_12_Train_Men,Age15_19, FALSE)),":")</f>
        <v>:</v>
      </c>
      <c r="H219" s="108" t="str">
        <f>IFERROR(HLOOKUP($A219,FUT_12_Train_Women,Age15_19, FALSE)/(HLOOKUP("Total",FUT_12_Train_Women,Age15_19, FALSE)-HLOOKUP("Not applicable",FUT_12_Train_Women,Age15_19, FALSE)),":")</f>
        <v>:</v>
      </c>
      <c r="I219" s="106" t="str">
        <f>IFERROR(HLOOKUP($A219,FUT_12_Train_Tot,Age20_24, FALSE)/(HLOOKUP("Total",FUT_12_Train_Tot,Age20_24, FALSE)-HLOOKUP("Not applicable",FUT_12_Train_Tot,Age20_24, FALSE)),":")</f>
        <v>:</v>
      </c>
      <c r="J219" s="107" t="str">
        <f>IFERROR(HLOOKUP($A219,FUT_12_Train_Men,Age20_24, FALSE)/(HLOOKUP("Total",FUT_12_Train_Men,Age20_24, FALSE)-HLOOKUP("Not applicable",FUT_12_Train_Men,Age20_24, FALSE)),":")</f>
        <v>:</v>
      </c>
      <c r="K219" s="108" t="str">
        <f>IFERROR(HLOOKUP($A219,FUT_12_Train_Women,Age20_24, FALSE)/(HLOOKUP("Total",FUT_12_Train_Women,Age20_24, FALSE)-HLOOKUP("Not applicable",FUT_12_Train_Women,Age20_24, FALSE)),":")</f>
        <v>:</v>
      </c>
      <c r="L219" s="106" t="str">
        <f>IFERROR(HLOOKUP($A219,FUT_12_Train_Tot,Age25_29, FALSE)/(HLOOKUP("Total",FUT_12_Train_Tot,Age25_29, FALSE)-HLOOKUP("Not applicable",FUT_12_Train_Tot,Age25_29, FALSE)),":")</f>
        <v>:</v>
      </c>
      <c r="M219" s="107" t="str">
        <f>IFERROR(HLOOKUP($A219,FUT_12_Train_Men,Age25_29, FALSE)/(HLOOKUP("Total",FUT_12_Train_Men,Age25_29, FALSE)-HLOOKUP("Not applicable",FUT_12_Train_Men,Age25_29, FALSE)),":")</f>
        <v>:</v>
      </c>
      <c r="N219" s="108" t="str">
        <f>IFERROR(HLOOKUP($A219,FUT_12_Train_Women,Age25_29, FALSE)/(HLOOKUP("Total",FUT_12_Train_Women,Age25_29, FALSE)-HLOOKUP("Not applicable",FUT_12_Train_Women,Age25_29, FALSE)),":")</f>
        <v>:</v>
      </c>
    </row>
    <row r="220" spans="1:14" ht="17" thickTop="1" thickBot="1" x14ac:dyDescent="0.25"/>
    <row r="221" spans="1:14" ht="15.75" customHeight="1" thickTop="1" x14ac:dyDescent="0.2">
      <c r="A221" s="352" t="s">
        <v>190</v>
      </c>
      <c r="B221" s="353"/>
      <c r="C221" s="347" t="s">
        <v>228</v>
      </c>
      <c r="D221" s="348"/>
      <c r="E221" s="349"/>
      <c r="F221" s="347" t="s">
        <v>11</v>
      </c>
      <c r="G221" s="348"/>
      <c r="H221" s="349"/>
      <c r="I221" s="356" t="s">
        <v>13</v>
      </c>
      <c r="J221" s="348"/>
      <c r="K221" s="349"/>
      <c r="L221" s="347" t="s">
        <v>227</v>
      </c>
      <c r="M221" s="348"/>
      <c r="N221" s="350"/>
    </row>
    <row r="222" spans="1:14" x14ac:dyDescent="0.2">
      <c r="A222" s="354"/>
      <c r="B222" s="355"/>
      <c r="C222" s="49" t="s">
        <v>3</v>
      </c>
      <c r="D222" s="47" t="s">
        <v>4</v>
      </c>
      <c r="E222" s="48" t="s">
        <v>5</v>
      </c>
      <c r="F222" s="49" t="s">
        <v>3</v>
      </c>
      <c r="G222" s="47" t="s">
        <v>4</v>
      </c>
      <c r="H222" s="48" t="s">
        <v>5</v>
      </c>
      <c r="I222" s="46" t="s">
        <v>3</v>
      </c>
      <c r="J222" s="47" t="s">
        <v>4</v>
      </c>
      <c r="K222" s="48" t="s">
        <v>5</v>
      </c>
      <c r="L222" s="49" t="s">
        <v>3</v>
      </c>
      <c r="M222" s="47" t="s">
        <v>4</v>
      </c>
      <c r="N222" s="164" t="s">
        <v>5</v>
      </c>
    </row>
    <row r="223" spans="1:14" x14ac:dyDescent="0.2">
      <c r="A223" s="98" t="s">
        <v>185</v>
      </c>
      <c r="B223" s="99"/>
      <c r="C223" s="100" t="str">
        <f t="shared" ref="C223:E223" si="90">IF(COUNT(C224:C227)&gt;0,SUM(C224:C227),":")</f>
        <v>:</v>
      </c>
      <c r="D223" s="101" t="str">
        <f t="shared" si="90"/>
        <v>:</v>
      </c>
      <c r="E223" s="102" t="str">
        <f t="shared" si="90"/>
        <v>:</v>
      </c>
      <c r="F223" s="100" t="str">
        <f t="shared" ref="F223:K223" si="91">IF(COUNT(F224:F227)&gt;0,SUM(F224:F227),":")</f>
        <v>:</v>
      </c>
      <c r="G223" s="101" t="str">
        <f t="shared" si="91"/>
        <v>:</v>
      </c>
      <c r="H223" s="102" t="str">
        <f t="shared" si="91"/>
        <v>:</v>
      </c>
      <c r="I223" s="100" t="str">
        <f t="shared" si="91"/>
        <v>:</v>
      </c>
      <c r="J223" s="101" t="str">
        <f t="shared" si="91"/>
        <v>:</v>
      </c>
      <c r="K223" s="102" t="str">
        <f t="shared" si="91"/>
        <v>:</v>
      </c>
      <c r="L223" s="100" t="str">
        <f t="shared" ref="L223:N223" si="92">IF(COUNT(L224:L227)&gt;0,SUM(L224:L227),":")</f>
        <v>:</v>
      </c>
      <c r="M223" s="101" t="str">
        <f t="shared" si="92"/>
        <v>:</v>
      </c>
      <c r="N223" s="102" t="str">
        <f t="shared" si="92"/>
        <v>:</v>
      </c>
    </row>
    <row r="224" spans="1:14" outlineLevel="1" x14ac:dyDescent="0.2">
      <c r="A224" s="50"/>
      <c r="B224" s="60" t="s">
        <v>15</v>
      </c>
      <c r="C224" s="52" t="str">
        <f>IFERROR(HLOOKUP($B224,FUT_18_Train_Tot,Age15_29, FALSE)/(HLOOKUP("Total",FUT_18_Train_Tot,Age15_29, FALSE)-HLOOKUP("Not applicable",FUT_18_Train_Tot,Age15_29, FALSE)),":")</f>
        <v>:</v>
      </c>
      <c r="D224" s="53" t="str">
        <f>IFERROR(HLOOKUP($B224,FUT_18_Train_Men,Age15_29, FALSE)/(HLOOKUP("Total",FUT_18_Train_Men,Age15_29, FALSE)-HLOOKUP("Not applicable",FUT_18_Train_Men,Age15_29, FALSE)),":")</f>
        <v>:</v>
      </c>
      <c r="E224" s="54" t="str">
        <f>IFERROR(HLOOKUP($B224,FUT_18_Train_Women,Age15_29, FALSE)/(HLOOKUP("Total",FUT_18_Train_Women,Age15_29, FALSE)-HLOOKUP("Not applicable",FUT_18_Train_Women,Age15_29, FALSE)),":")</f>
        <v>:</v>
      </c>
      <c r="F224" s="52" t="str">
        <f>IFERROR(HLOOKUP($B224,FUT_18_Train_Tot,Age15_19, FALSE)/(HLOOKUP("Total",FUT_18_Train_Tot,Age15_19, FALSE)-HLOOKUP("Not applicable",FUT_18_Train_Tot,Age15_19, FALSE)),":")</f>
        <v>:</v>
      </c>
      <c r="G224" s="53" t="str">
        <f>IFERROR(HLOOKUP($B224,FUT_18_Train_Men,Age15_19, FALSE)/(HLOOKUP("Total",FUT_18_Train_Men,Age15_19, FALSE)-HLOOKUP("Not applicable",FUT_18_Train_Men,Age15_19, FALSE)),":")</f>
        <v>:</v>
      </c>
      <c r="H224" s="54" t="str">
        <f>IFERROR(HLOOKUP($B224,FUT_18_Train_Women,Age15_19, FALSE)/(HLOOKUP("Total",FUT_18_Train_Women,Age15_19, FALSE)-HLOOKUP("Not applicable",FUT_18_Train_Women,Age15_19, FALSE)),":")</f>
        <v>:</v>
      </c>
      <c r="I224" s="52" t="str">
        <f>IFERROR(HLOOKUP($B224,FUT_18_Train_Tot,Age20_24, FALSE)/(HLOOKUP("Total",FUT_18_Train_Tot,Age20_24, FALSE)-HLOOKUP("Not applicable",FUT_18_Train_Tot,Age20_24, FALSE)),":")</f>
        <v>:</v>
      </c>
      <c r="J224" s="53" t="str">
        <f>IFERROR(HLOOKUP($B224,FUT_18_Train_Men,Age20_24, FALSE)/(HLOOKUP("Total",FUT_18_Train_Men,Age20_24, FALSE)-HLOOKUP("Not applicable",FUT_18_Train_Men,Age20_24, FALSE)),":")</f>
        <v>:</v>
      </c>
      <c r="K224" s="54" t="str">
        <f>IFERROR(HLOOKUP($B224,FUT_18_Train_Women,Age20_24, FALSE)/(HLOOKUP("Total",FUT_18_Train_Women,Age20_24, FALSE)-HLOOKUP("Not applicable",FUT_18_Train_Women,Age20_24, FALSE)),":")</f>
        <v>:</v>
      </c>
      <c r="L224" s="52" t="str">
        <f>IFERROR(HLOOKUP($B224,FUT_18_Train_Tot,Age25_29, FALSE)/(HLOOKUP("Total",FUT_18_Train_Tot,Age25_29, FALSE)-HLOOKUP("Not applicable",FUT_18_Train_Tot,Age25_29, FALSE)),":")</f>
        <v>:</v>
      </c>
      <c r="M224" s="53" t="str">
        <f>IFERROR(HLOOKUP($B224,FUT_18_Train_Men,Age25_29, FALSE)/(HLOOKUP("Total",FUT_18_Train_Men,Age25_29, FALSE)-HLOOKUP("Not applicable",FUT_18_Train_Men,Age25_29, FALSE)),":")</f>
        <v>:</v>
      </c>
      <c r="N224" s="54" t="str">
        <f>IFERROR(HLOOKUP($B224,FUT_18_Train_Women,Age25_29, FALSE)/(HLOOKUP("Total",FUT_18_Train_Women,Age25_29, FALSE)-HLOOKUP("Not applicable",FUT_18_Train_Women,Age25_29, FALSE)),":")</f>
        <v>:</v>
      </c>
    </row>
    <row r="225" spans="1:14" outlineLevel="1" x14ac:dyDescent="0.2">
      <c r="A225" s="50"/>
      <c r="B225" s="60" t="s">
        <v>16</v>
      </c>
      <c r="C225" s="52" t="str">
        <f>IFERROR(HLOOKUP($B225,FUT_18_Train_Tot,Age15_29, FALSE)/(HLOOKUP("Total",FUT_18_Train_Tot,Age15_29, FALSE)-HLOOKUP("Not applicable",FUT_18_Train_Tot,Age15_29, FALSE)),":")</f>
        <v>:</v>
      </c>
      <c r="D225" s="53" t="str">
        <f>IFERROR(HLOOKUP($B225,FUT_18_Train_Men,Age15_29, FALSE)/(HLOOKUP("Total",FUT_18_Train_Men,Age15_29, FALSE)-HLOOKUP("Not applicable",FUT_18_Train_Men,Age15_29, FALSE)),":")</f>
        <v>:</v>
      </c>
      <c r="E225" s="54" t="str">
        <f>IFERROR(HLOOKUP($B225,FUT_18_Train_Women,Age15_29, FALSE)/(HLOOKUP("Total",FUT_18_Train_Women,Age15_29, FALSE)-HLOOKUP("Not applicable",FUT_18_Train_Women,Age15_29, FALSE)),":")</f>
        <v>:</v>
      </c>
      <c r="F225" s="52" t="str">
        <f>IFERROR(HLOOKUP($B225,FUT_18_Train_Tot,Age15_19, FALSE)/(HLOOKUP("Total",FUT_18_Train_Tot,Age15_19, FALSE)-HLOOKUP("Not applicable",FUT_18_Train_Tot,Age15_19, FALSE)),":")</f>
        <v>:</v>
      </c>
      <c r="G225" s="53" t="str">
        <f>IFERROR(HLOOKUP($B225,FUT_18_Train_Men,Age15_19, FALSE)/(HLOOKUP("Total",FUT_18_Train_Men,Age15_19, FALSE)-HLOOKUP("Not applicable",FUT_18_Train_Men,Age15_19, FALSE)),":")</f>
        <v>:</v>
      </c>
      <c r="H225" s="54" t="str">
        <f>IFERROR(HLOOKUP($B225,FUT_18_Train_Women,Age15_19, FALSE)/(HLOOKUP("Total",FUT_18_Train_Women,Age15_19, FALSE)-HLOOKUP("Not applicable",FUT_18_Train_Women,Age15_19, FALSE)),":")</f>
        <v>:</v>
      </c>
      <c r="I225" s="52" t="str">
        <f>IFERROR(HLOOKUP($B225,FUT_18_Train_Tot,Age20_24, FALSE)/(HLOOKUP("Total",FUT_18_Train_Tot,Age20_24, FALSE)-HLOOKUP("Not applicable",FUT_18_Train_Tot,Age20_24, FALSE)),":")</f>
        <v>:</v>
      </c>
      <c r="J225" s="53" t="str">
        <f>IFERROR(HLOOKUP($B225,FUT_18_Train_Men,Age20_24, FALSE)/(HLOOKUP("Total",FUT_18_Train_Men,Age20_24, FALSE)-HLOOKUP("Not applicable",FUT_18_Train_Men,Age20_24, FALSE)),":")</f>
        <v>:</v>
      </c>
      <c r="K225" s="54" t="str">
        <f>IFERROR(HLOOKUP($B225,FUT_18_Train_Women,Age20_24, FALSE)/(HLOOKUP("Total",FUT_18_Train_Women,Age20_24, FALSE)-HLOOKUP("Not applicable",FUT_18_Train_Women,Age20_24, FALSE)),":")</f>
        <v>:</v>
      </c>
      <c r="L225" s="52" t="str">
        <f>IFERROR(HLOOKUP($B225,FUT_18_Train_Tot,Age25_29, FALSE)/(HLOOKUP("Total",FUT_18_Train_Tot,Age25_29, FALSE)-HLOOKUP("Not applicable",FUT_18_Train_Tot,Age25_29, FALSE)),":")</f>
        <v>:</v>
      </c>
      <c r="M225" s="53" t="str">
        <f>IFERROR(HLOOKUP($B225,FUT_18_Train_Men,Age25_29, FALSE)/(HLOOKUP("Total",FUT_18_Train_Men,Age25_29, FALSE)-HLOOKUP("Not applicable",FUT_18_Train_Men,Age25_29, FALSE)),":")</f>
        <v>:</v>
      </c>
      <c r="N225" s="54" t="str">
        <f>IFERROR(HLOOKUP($B225,FUT_18_Train_Women,Age25_29, FALSE)/(HLOOKUP("Total",FUT_18_Train_Women,Age25_29, FALSE)-HLOOKUP("Not applicable",FUT_18_Train_Women,Age25_29, FALSE)),":")</f>
        <v>:</v>
      </c>
    </row>
    <row r="226" spans="1:14" outlineLevel="1" x14ac:dyDescent="0.2">
      <c r="A226" s="50"/>
      <c r="B226" s="60" t="s">
        <v>17</v>
      </c>
      <c r="C226" s="52" t="str">
        <f>IFERROR(HLOOKUP($B226,FUT_18_Train_Tot,Age15_29, FALSE)/(HLOOKUP("Total",FUT_18_Train_Tot,Age15_29, FALSE)-HLOOKUP("Not applicable",FUT_18_Train_Tot,Age15_29, FALSE)),":")</f>
        <v>:</v>
      </c>
      <c r="D226" s="53" t="str">
        <f>IFERROR(HLOOKUP($B226,FUT_18_Train_Men,Age15_29, FALSE)/(HLOOKUP("Total",FUT_18_Train_Men,Age15_29, FALSE)-HLOOKUP("Not applicable",FUT_18_Train_Men,Age15_29, FALSE)),":")</f>
        <v>:</v>
      </c>
      <c r="E226" s="54" t="str">
        <f>IFERROR(HLOOKUP($B226,FUT_18_Train_Women,Age15_29, FALSE)/(HLOOKUP("Total",FUT_18_Train_Women,Age15_29, FALSE)-HLOOKUP("Not applicable",FUT_18_Train_Women,Age15_29, FALSE)),":")</f>
        <v>:</v>
      </c>
      <c r="F226" s="52" t="str">
        <f>IFERROR(HLOOKUP($B226,FUT_18_Train_Tot,Age15_19, FALSE)/(HLOOKUP("Total",FUT_18_Train_Tot,Age15_19, FALSE)-HLOOKUP("Not applicable",FUT_18_Train_Tot,Age15_19, FALSE)),":")</f>
        <v>:</v>
      </c>
      <c r="G226" s="53" t="str">
        <f>IFERROR(HLOOKUP($B226,FUT_18_Train_Men,Age15_19, FALSE)/(HLOOKUP("Total",FUT_18_Train_Men,Age15_19, FALSE)-HLOOKUP("Not applicable",FUT_18_Train_Men,Age15_19, FALSE)),":")</f>
        <v>:</v>
      </c>
      <c r="H226" s="54" t="str">
        <f>IFERROR(HLOOKUP($B226,FUT_18_Train_Women,Age15_19, FALSE)/(HLOOKUP("Total",FUT_18_Train_Women,Age15_19, FALSE)-HLOOKUP("Not applicable",FUT_18_Train_Women,Age15_19, FALSE)),":")</f>
        <v>:</v>
      </c>
      <c r="I226" s="52" t="str">
        <f>IFERROR(HLOOKUP($B226,FUT_18_Train_Tot,Age20_24, FALSE)/(HLOOKUP("Total",FUT_18_Train_Tot,Age20_24, FALSE)-HLOOKUP("Not applicable",FUT_18_Train_Tot,Age20_24, FALSE)),":")</f>
        <v>:</v>
      </c>
      <c r="J226" s="53" t="str">
        <f>IFERROR(HLOOKUP($B226,FUT_18_Train_Men,Age20_24, FALSE)/(HLOOKUP("Total",FUT_18_Train_Men,Age20_24, FALSE)-HLOOKUP("Not applicable",FUT_18_Train_Men,Age20_24, FALSE)),":")</f>
        <v>:</v>
      </c>
      <c r="K226" s="54" t="str">
        <f>IFERROR(HLOOKUP($B226,FUT_18_Train_Women,Age20_24, FALSE)/(HLOOKUP("Total",FUT_18_Train_Women,Age20_24, FALSE)-HLOOKUP("Not applicable",FUT_18_Train_Women,Age20_24, FALSE)),":")</f>
        <v>:</v>
      </c>
      <c r="L226" s="52" t="str">
        <f>IFERROR(HLOOKUP($B226,FUT_18_Train_Tot,Age25_29, FALSE)/(HLOOKUP("Total",FUT_18_Train_Tot,Age25_29, FALSE)-HLOOKUP("Not applicable",FUT_18_Train_Tot,Age25_29, FALSE)),":")</f>
        <v>:</v>
      </c>
      <c r="M226" s="53" t="str">
        <f>IFERROR(HLOOKUP($B226,FUT_18_Train_Men,Age25_29, FALSE)/(HLOOKUP("Total",FUT_18_Train_Men,Age25_29, FALSE)-HLOOKUP("Not applicable",FUT_18_Train_Men,Age25_29, FALSE)),":")</f>
        <v>:</v>
      </c>
      <c r="N226" s="54" t="str">
        <f>IFERROR(HLOOKUP($B226,FUT_18_Train_Women,Age25_29, FALSE)/(HLOOKUP("Total",FUT_18_Train_Women,Age25_29, FALSE)-HLOOKUP("Not applicable",FUT_18_Train_Women,Age25_29, FALSE)),":")</f>
        <v>:</v>
      </c>
    </row>
    <row r="227" spans="1:14" outlineLevel="1" x14ac:dyDescent="0.2">
      <c r="A227" s="50"/>
      <c r="B227" s="60" t="s">
        <v>18</v>
      </c>
      <c r="C227" s="52" t="str">
        <f>IFERROR(HLOOKUP($B227,FUT_18_Train_Tot,Age15_29, FALSE)/(HLOOKUP("Total",FUT_18_Train_Tot,Age15_29, FALSE)-HLOOKUP("Not applicable",FUT_18_Train_Tot,Age15_29, FALSE)),":")</f>
        <v>:</v>
      </c>
      <c r="D227" s="53" t="str">
        <f>IFERROR(HLOOKUP($B227,FUT_18_Train_Men,Age15_29, FALSE)/(HLOOKUP("Total",FUT_18_Train_Men,Age15_29, FALSE)-HLOOKUP("Not applicable",FUT_18_Train_Men,Age15_29, FALSE)),":")</f>
        <v>:</v>
      </c>
      <c r="E227" s="54" t="str">
        <f>IFERROR(HLOOKUP($B227,FUT_18_Train_Women,Age15_29, FALSE)/(HLOOKUP("Total",FUT_18_Train_Women,Age15_29, FALSE)-HLOOKUP("Not applicable",FUT_18_Train_Women,Age15_29, FALSE)),":")</f>
        <v>:</v>
      </c>
      <c r="F227" s="52" t="str">
        <f>IFERROR(HLOOKUP($B227,FUT_18_Train_Tot,Age15_19, FALSE)/(HLOOKUP("Total",FUT_18_Train_Tot,Age15_19, FALSE)-HLOOKUP("Not applicable",FUT_18_Train_Tot,Age15_19, FALSE)),":")</f>
        <v>:</v>
      </c>
      <c r="G227" s="53" t="str">
        <f>IFERROR(HLOOKUP($B227,FUT_18_Train_Men,Age15_19, FALSE)/(HLOOKUP("Total",FUT_18_Train_Men,Age15_19, FALSE)-HLOOKUP("Not applicable",FUT_18_Train_Men,Age15_19, FALSE)),":")</f>
        <v>:</v>
      </c>
      <c r="H227" s="54" t="str">
        <f>IFERROR(HLOOKUP($B227,FUT_18_Train_Women,Age15_19, FALSE)/(HLOOKUP("Total",FUT_18_Train_Women,Age15_19, FALSE)-HLOOKUP("Not applicable",FUT_18_Train_Women,Age15_19, FALSE)),":")</f>
        <v>:</v>
      </c>
      <c r="I227" s="52" t="str">
        <f>IFERROR(HLOOKUP($B227,FUT_18_Train_Tot,Age20_24, FALSE)/(HLOOKUP("Total",FUT_18_Train_Tot,Age20_24, FALSE)-HLOOKUP("Not applicable",FUT_18_Train_Tot,Age20_24, FALSE)),":")</f>
        <v>:</v>
      </c>
      <c r="J227" s="53" t="str">
        <f>IFERROR(HLOOKUP($B227,FUT_18_Train_Men,Age20_24, FALSE)/(HLOOKUP("Total",FUT_18_Train_Men,Age20_24, FALSE)-HLOOKUP("Not applicable",FUT_18_Train_Men,Age20_24, FALSE)),":")</f>
        <v>:</v>
      </c>
      <c r="K227" s="54" t="str">
        <f>IFERROR(HLOOKUP($B227,FUT_18_Train_Women,Age20_24, FALSE)/(HLOOKUP("Total",FUT_18_Train_Women,Age20_24, FALSE)-HLOOKUP("Not applicable",FUT_18_Train_Women,Age20_24, FALSE)),":")</f>
        <v>:</v>
      </c>
      <c r="L227" s="52" t="str">
        <f>IFERROR(HLOOKUP($B227,FUT_18_Train_Tot,Age25_29, FALSE)/(HLOOKUP("Total",FUT_18_Train_Tot,Age25_29, FALSE)-HLOOKUP("Not applicable",FUT_18_Train_Tot,Age25_29, FALSE)),":")</f>
        <v>:</v>
      </c>
      <c r="M227" s="53" t="str">
        <f>IFERROR(HLOOKUP($B227,FUT_18_Train_Men,Age25_29, FALSE)/(HLOOKUP("Total",FUT_18_Train_Men,Age25_29, FALSE)-HLOOKUP("Not applicable",FUT_18_Train_Men,Age25_29, FALSE)),":")</f>
        <v>:</v>
      </c>
      <c r="N227" s="54" t="str">
        <f>IFERROR(HLOOKUP($B227,FUT_18_Train_Women,Age25_29, FALSE)/(HLOOKUP("Total",FUT_18_Train_Women,Age25_29, FALSE)-HLOOKUP("Not applicable",FUT_18_Train_Women,Age25_29, FALSE)),":")</f>
        <v>:</v>
      </c>
    </row>
    <row r="228" spans="1:14" x14ac:dyDescent="0.2">
      <c r="A228" s="98" t="s">
        <v>186</v>
      </c>
      <c r="B228" s="103"/>
      <c r="C228" s="100" t="str">
        <f t="shared" ref="C228:E228" si="93">IF(COUNT(C229:C230)&gt;0,SUM(C229:C230),":")</f>
        <v>:</v>
      </c>
      <c r="D228" s="101" t="str">
        <f t="shared" si="93"/>
        <v>:</v>
      </c>
      <c r="E228" s="102" t="str">
        <f t="shared" si="93"/>
        <v>:</v>
      </c>
      <c r="F228" s="100" t="str">
        <f t="shared" ref="F228:K228" si="94">IF(COUNT(F229:F230)&gt;0,SUM(F229:F230),":")</f>
        <v>:</v>
      </c>
      <c r="G228" s="101" t="str">
        <f t="shared" si="94"/>
        <v>:</v>
      </c>
      <c r="H228" s="102" t="str">
        <f t="shared" si="94"/>
        <v>:</v>
      </c>
      <c r="I228" s="100" t="str">
        <f t="shared" si="94"/>
        <v>:</v>
      </c>
      <c r="J228" s="101" t="str">
        <f t="shared" si="94"/>
        <v>:</v>
      </c>
      <c r="K228" s="102" t="str">
        <f t="shared" si="94"/>
        <v>:</v>
      </c>
      <c r="L228" s="100" t="str">
        <f t="shared" ref="L228:N228" si="95">IF(COUNT(L229:L230)&gt;0,SUM(L229:L230),":")</f>
        <v>:</v>
      </c>
      <c r="M228" s="101" t="str">
        <f t="shared" si="95"/>
        <v>:</v>
      </c>
      <c r="N228" s="102" t="str">
        <f t="shared" si="95"/>
        <v>:</v>
      </c>
    </row>
    <row r="229" spans="1:14" outlineLevel="1" x14ac:dyDescent="0.2">
      <c r="A229" s="50"/>
      <c r="B229" s="60" t="s">
        <v>20</v>
      </c>
      <c r="C229" s="52" t="str">
        <f>IFERROR(HLOOKUP($B229,FUT_18_Train_Tot,Age15_29, FALSE)/(HLOOKUP("Total",FUT_18_Train_Tot,Age15_29, FALSE)-HLOOKUP("Not applicable",FUT_18_Train_Tot,Age15_29, FALSE)),":")</f>
        <v>:</v>
      </c>
      <c r="D229" s="53" t="str">
        <f>IFERROR(HLOOKUP($B229,FUT_18_Train_Men,Age15_29, FALSE)/(HLOOKUP("Total",FUT_18_Train_Men,Age15_29, FALSE)-HLOOKUP("Not applicable",FUT_18_Train_Men,Age15_29, FALSE)),":")</f>
        <v>:</v>
      </c>
      <c r="E229" s="54" t="str">
        <f>IFERROR(HLOOKUP($B229,FUT_18_Train_Women,Age15_29, FALSE)/(HLOOKUP("Total",FUT_18_Train_Women,Age15_29, FALSE)-HLOOKUP("Not applicable",FUT_18_Train_Women,Age15_29, FALSE)),":")</f>
        <v>:</v>
      </c>
      <c r="F229" s="52" t="str">
        <f>IFERROR(HLOOKUP($B229,FUT_18_Train_Tot,Age15_19, FALSE)/(HLOOKUP("Total",FUT_18_Train_Tot,Age15_19, FALSE)-HLOOKUP("Not applicable",FUT_18_Train_Tot,Age15_19, FALSE)),":")</f>
        <v>:</v>
      </c>
      <c r="G229" s="53" t="str">
        <f>IFERROR(HLOOKUP($B229,FUT_18_Train_Men,Age15_19, FALSE)/(HLOOKUP("Total",FUT_18_Train_Men,Age15_19, FALSE)-HLOOKUP("Not applicable",FUT_18_Train_Men,Age15_19, FALSE)),":")</f>
        <v>:</v>
      </c>
      <c r="H229" s="54" t="str">
        <f>IFERROR(HLOOKUP($B229,FUT_18_Train_Women,Age15_19, FALSE)/(HLOOKUP("Total",FUT_18_Train_Women,Age15_19, FALSE)-HLOOKUP("Not applicable",FUT_18_Train_Women,Age15_19, FALSE)),":")</f>
        <v>:</v>
      </c>
      <c r="I229" s="52" t="str">
        <f>IFERROR(HLOOKUP($B229,FUT_18_Train_Tot,Age20_24, FALSE)/(HLOOKUP("Total",FUT_18_Train_Tot,Age20_24, FALSE)-HLOOKUP("Not applicable",FUT_18_Train_Tot,Age20_24, FALSE)),":")</f>
        <v>:</v>
      </c>
      <c r="J229" s="53" t="str">
        <f>IFERROR(HLOOKUP($B229,FUT_18_Train_Men,Age20_24, FALSE)/(HLOOKUP("Total",FUT_18_Train_Men,Age20_24, FALSE)-HLOOKUP("Not applicable",FUT_18_Train_Men,Age20_24, FALSE)),":")</f>
        <v>:</v>
      </c>
      <c r="K229" s="54" t="str">
        <f>IFERROR(HLOOKUP($B229,FUT_18_Train_Women,Age20_24, FALSE)/(HLOOKUP("Total",FUT_18_Train_Women,Age20_24, FALSE)-HLOOKUP("Not applicable",FUT_18_Train_Women,Age20_24, FALSE)),":")</f>
        <v>:</v>
      </c>
      <c r="L229" s="52" t="str">
        <f>IFERROR(HLOOKUP($B229,FUT_18_Train_Tot,Age25_29, FALSE)/(HLOOKUP("Total",FUT_18_Train_Tot,Age25_29, FALSE)-HLOOKUP("Not applicable",FUT_18_Train_Tot,Age25_29, FALSE)),":")</f>
        <v>:</v>
      </c>
      <c r="M229" s="53" t="str">
        <f>IFERROR(HLOOKUP($B229,FUT_18_Train_Men,Age25_29, FALSE)/(HLOOKUP("Total",FUT_18_Train_Men,Age25_29, FALSE)-HLOOKUP("Not applicable",FUT_18_Train_Men,Age25_29, FALSE)),":")</f>
        <v>:</v>
      </c>
      <c r="N229" s="54" t="str">
        <f>IFERROR(HLOOKUP($B229,FUT_18_Train_Women,Age25_29, FALSE)/(HLOOKUP("Total",FUT_18_Train_Women,Age25_29, FALSE)-HLOOKUP("Not applicable",FUT_18_Train_Women,Age25_29, FALSE)),":")</f>
        <v>:</v>
      </c>
    </row>
    <row r="230" spans="1:14" outlineLevel="1" x14ac:dyDescent="0.2">
      <c r="A230" s="50"/>
      <c r="B230" s="60" t="s">
        <v>91</v>
      </c>
      <c r="C230" s="52" t="str">
        <f>IFERROR(HLOOKUP($B230,FUT_18_Train_Tot,Age15_29, FALSE)/(HLOOKUP("Total",FUT_18_Train_Tot,Age15_29, FALSE)-HLOOKUP("Not applicable",FUT_18_Train_Tot,Age15_29, FALSE)),":")</f>
        <v>:</v>
      </c>
      <c r="D230" s="53" t="str">
        <f>IFERROR(HLOOKUP($B230,FUT_18_Train_Men,Age15_29, FALSE)/(HLOOKUP("Total",FUT_18_Train_Men,Age15_29, FALSE)-HLOOKUP("Not applicable",FUT_18_Train_Men,Age15_29, FALSE)),":")</f>
        <v>:</v>
      </c>
      <c r="E230" s="54" t="str">
        <f>IFERROR(HLOOKUP($B230,FUT_18_Train_Women,Age15_29, FALSE)/(HLOOKUP("Total",FUT_18_Train_Women,Age15_29, FALSE)-HLOOKUP("Not applicable",FUT_18_Train_Women,Age15_29, FALSE)),":")</f>
        <v>:</v>
      </c>
      <c r="F230" s="52" t="str">
        <f>IFERROR(HLOOKUP($B230,FUT_18_Train_Tot,Age15_19, FALSE)/(HLOOKUP("Total",FUT_18_Train_Tot,Age15_19, FALSE)-HLOOKUP("Not applicable",FUT_18_Train_Tot,Age15_19, FALSE)),":")</f>
        <v>:</v>
      </c>
      <c r="G230" s="53" t="str">
        <f>IFERROR(HLOOKUP($B230,FUT_18_Train_Men,Age15_19, FALSE)/(HLOOKUP("Total",FUT_18_Train_Men,Age15_19, FALSE)-HLOOKUP("Not applicable",FUT_18_Train_Men,Age15_19, FALSE)),":")</f>
        <v>:</v>
      </c>
      <c r="H230" s="54" t="str">
        <f>IFERROR(HLOOKUP($B230,FUT_18_Train_Women,Age15_19, FALSE)/(HLOOKUP("Total",FUT_18_Train_Women,Age15_19, FALSE)-HLOOKUP("Not applicable",FUT_18_Train_Women,Age15_19, FALSE)),":")</f>
        <v>:</v>
      </c>
      <c r="I230" s="52" t="str">
        <f>IFERROR(HLOOKUP($B230,FUT_18_Train_Tot,Age20_24, FALSE)/(HLOOKUP("Total",FUT_18_Train_Tot,Age20_24, FALSE)-HLOOKUP("Not applicable",FUT_18_Train_Tot,Age20_24, FALSE)),":")</f>
        <v>:</v>
      </c>
      <c r="J230" s="53" t="str">
        <f>IFERROR(HLOOKUP($B230,FUT_18_Train_Men,Age20_24, FALSE)/(HLOOKUP("Total",FUT_18_Train_Men,Age20_24, FALSE)-HLOOKUP("Not applicable",FUT_18_Train_Men,Age20_24, FALSE)),":")</f>
        <v>:</v>
      </c>
      <c r="K230" s="54" t="str">
        <f>IFERROR(HLOOKUP($B230,FUT_18_Train_Women,Age20_24, FALSE)/(HLOOKUP("Total",FUT_18_Train_Women,Age20_24, FALSE)-HLOOKUP("Not applicable",FUT_18_Train_Women,Age20_24, FALSE)),":")</f>
        <v>:</v>
      </c>
      <c r="L230" s="52" t="str">
        <f>IFERROR(HLOOKUP($B230,FUT_18_Train_Tot,Age25_29, FALSE)/(HLOOKUP("Total",FUT_18_Train_Tot,Age25_29, FALSE)-HLOOKUP("Not applicable",FUT_18_Train_Tot,Age25_29, FALSE)),":")</f>
        <v>:</v>
      </c>
      <c r="M230" s="53" t="str">
        <f>IFERROR(HLOOKUP($B230,FUT_18_Train_Men,Age25_29, FALSE)/(HLOOKUP("Total",FUT_18_Train_Men,Age25_29, FALSE)-HLOOKUP("Not applicable",FUT_18_Train_Men,Age25_29, FALSE)),":")</f>
        <v>:</v>
      </c>
      <c r="N230" s="54" t="str">
        <f>IFERROR(HLOOKUP($B230,FUT_18_Train_Women,Age25_29, FALSE)/(HLOOKUP("Total",FUT_18_Train_Women,Age25_29, FALSE)-HLOOKUP("Not applicable",FUT_18_Train_Women,Age25_29, FALSE)),":")</f>
        <v>:</v>
      </c>
    </row>
    <row r="231" spans="1:14" ht="16" thickBot="1" x14ac:dyDescent="0.25">
      <c r="A231" s="104" t="s">
        <v>21</v>
      </c>
      <c r="B231" s="105"/>
      <c r="C231" s="106" t="str">
        <f>IFERROR(HLOOKUP($A231,FUT_18_Train_Tot,Age15_29, FALSE)/(HLOOKUP("Total",FUT_18_Train_Tot,Age15_29, FALSE)-HLOOKUP("Not applicable",FUT_18_Train_Tot,Age15_29, FALSE)),":")</f>
        <v>:</v>
      </c>
      <c r="D231" s="107" t="str">
        <f>IFERROR(HLOOKUP($A231,FUT_18_Train_Men,Age15_29, FALSE)/(HLOOKUP("Total",FUT_18_Train_Men,Age15_29, FALSE)-HLOOKUP("Not applicable",FUT_18_Train_Men,Age15_29, FALSE)),":")</f>
        <v>:</v>
      </c>
      <c r="E231" s="108" t="str">
        <f>IFERROR(HLOOKUP($A231,FUT_18_Train_Women,Age15_29, FALSE)/(HLOOKUP("Total",FUT_18_Train_Women,Age15_29, FALSE)-HLOOKUP("Not applicable",FUT_18_Train_Women,Age15_29, FALSE)),":")</f>
        <v>:</v>
      </c>
      <c r="F231" s="106" t="str">
        <f>IFERROR(HLOOKUP($A231,FUT_18_Train_Tot,Age15_19, FALSE)/(HLOOKUP("Total",FUT_18_Train_Tot,Age15_19, FALSE)-HLOOKUP("Not applicable",FUT_18_Train_Tot,Age15_19, FALSE)),":")</f>
        <v>:</v>
      </c>
      <c r="G231" s="107" t="str">
        <f>IFERROR(HLOOKUP($A231,FUT_18_Train_Men,Age15_19, FALSE)/(HLOOKUP("Total",FUT_18_Train_Men,Age15_19, FALSE)-HLOOKUP("Not applicable",FUT_18_Train_Men,Age15_19, FALSE)),":")</f>
        <v>:</v>
      </c>
      <c r="H231" s="108" t="str">
        <f>IFERROR(HLOOKUP($A231,FUT_18_Train_Women,Age15_19, FALSE)/(HLOOKUP("Total",FUT_18_Train_Women,Age15_19, FALSE)-HLOOKUP("Not applicable",FUT_18_Train_Women,Age15_19, FALSE)),":")</f>
        <v>:</v>
      </c>
      <c r="I231" s="106" t="str">
        <f>IFERROR(HLOOKUP($A231,FUT_18_Train_Tot,Age20_24, FALSE)/(HLOOKUP("Total",FUT_18_Train_Tot,Age20_24, FALSE)-HLOOKUP("Not applicable",FUT_18_Train_Tot,Age20_24, FALSE)),":")</f>
        <v>:</v>
      </c>
      <c r="J231" s="107" t="str">
        <f>IFERROR(HLOOKUP($A231,FUT_18_Train_Men,Age20_24, FALSE)/(HLOOKUP("Total",FUT_18_Train_Men,Age20_24, FALSE)-HLOOKUP("Not applicable",FUT_18_Train_Men,Age20_24, FALSE)),":")</f>
        <v>:</v>
      </c>
      <c r="K231" s="108" t="str">
        <f>IFERROR(HLOOKUP($A231,FUT_18_Train_Women,Age20_24, FALSE)/(HLOOKUP("Total",FUT_18_Train_Women,Age20_24, FALSE)-HLOOKUP("Not applicable",FUT_18_Train_Women,Age20_24, FALSE)),":")</f>
        <v>:</v>
      </c>
      <c r="L231" s="106" t="str">
        <f>IFERROR(HLOOKUP($A231,FUT_18_Train_Tot,Age25_29, FALSE)/(HLOOKUP("Total",FUT_18_Train_Tot,Age25_29, FALSE)-HLOOKUP("Not applicable",FUT_18_Train_Tot,Age25_29, FALSE)),":")</f>
        <v>:</v>
      </c>
      <c r="M231" s="107" t="str">
        <f>IFERROR(HLOOKUP($A231,FUT_18_Train_Men,Age25_29, FALSE)/(HLOOKUP("Total",FUT_18_Train_Men,Age25_29, FALSE)-HLOOKUP("Not applicable",FUT_18_Train_Men,Age25_29, FALSE)),":")</f>
        <v>:</v>
      </c>
      <c r="N231" s="108" t="str">
        <f>IFERROR(HLOOKUP($A231,FUT_18_Train_Women,Age25_29, FALSE)/(HLOOKUP("Total",FUT_18_Train_Women,Age25_29, FALSE)-HLOOKUP("Not applicable",FUT_18_Train_Women,Age25_29, FALSE)),":")</f>
        <v>:</v>
      </c>
    </row>
    <row r="232" spans="1:14" ht="16" thickTop="1" x14ac:dyDescent="0.2"/>
  </sheetData>
  <sheetProtection algorithmName="SHA-512" hashValue="XFFKCzuRV7Rbe8vNzvijrfav4HU/h+be80TZdXpq9UDbZMZRN3sqnxP9UlwxonLyj9cspZSGhOe2FkmMFfcVEQ==" saltValue="hzJ6KzmUs/M5k5wGBR6sJg==" spinCount="100000" sheet="1" formatCells="0" formatColumns="0" formatRows="0"/>
  <mergeCells count="92">
    <mergeCell ref="A11:B12"/>
    <mergeCell ref="F11:H11"/>
    <mergeCell ref="I11:K11"/>
    <mergeCell ref="A20:B21"/>
    <mergeCell ref="F20:H20"/>
    <mergeCell ref="I20:K20"/>
    <mergeCell ref="C11:E11"/>
    <mergeCell ref="C20:E20"/>
    <mergeCell ref="A92:B93"/>
    <mergeCell ref="F92:H92"/>
    <mergeCell ref="I92:K92"/>
    <mergeCell ref="C51:E51"/>
    <mergeCell ref="C63:E63"/>
    <mergeCell ref="C80:E80"/>
    <mergeCell ref="A80:B81"/>
    <mergeCell ref="F80:H80"/>
    <mergeCell ref="I80:K80"/>
    <mergeCell ref="A39:B40"/>
    <mergeCell ref="F39:H39"/>
    <mergeCell ref="I39:K39"/>
    <mergeCell ref="C39:E39"/>
    <mergeCell ref="C78:K78"/>
    <mergeCell ref="A51:B52"/>
    <mergeCell ref="F51:H51"/>
    <mergeCell ref="I51:K51"/>
    <mergeCell ref="A63:B64"/>
    <mergeCell ref="F63:H63"/>
    <mergeCell ref="I63:K63"/>
    <mergeCell ref="A104:B105"/>
    <mergeCell ref="F104:H104"/>
    <mergeCell ref="I104:K104"/>
    <mergeCell ref="C117:J117"/>
    <mergeCell ref="A143:B144"/>
    <mergeCell ref="F143:H143"/>
    <mergeCell ref="I143:K143"/>
    <mergeCell ref="C119:E119"/>
    <mergeCell ref="C131:E131"/>
    <mergeCell ref="C143:E143"/>
    <mergeCell ref="A131:B132"/>
    <mergeCell ref="F131:H131"/>
    <mergeCell ref="I131:K131"/>
    <mergeCell ref="A119:B120"/>
    <mergeCell ref="F119:H119"/>
    <mergeCell ref="I119:K119"/>
    <mergeCell ref="A197:B198"/>
    <mergeCell ref="F197:H197"/>
    <mergeCell ref="I197:K197"/>
    <mergeCell ref="A158:B159"/>
    <mergeCell ref="F158:H158"/>
    <mergeCell ref="I158:K158"/>
    <mergeCell ref="A170:B171"/>
    <mergeCell ref="F170:H170"/>
    <mergeCell ref="C182:E182"/>
    <mergeCell ref="C197:E197"/>
    <mergeCell ref="C156:J156"/>
    <mergeCell ref="C195:J195"/>
    <mergeCell ref="A221:B222"/>
    <mergeCell ref="F221:H221"/>
    <mergeCell ref="I221:K221"/>
    <mergeCell ref="A209:B210"/>
    <mergeCell ref="F209:H209"/>
    <mergeCell ref="I209:K209"/>
    <mergeCell ref="I170:K170"/>
    <mergeCell ref="A182:B183"/>
    <mergeCell ref="F182:H182"/>
    <mergeCell ref="I182:K182"/>
    <mergeCell ref="C209:E209"/>
    <mergeCell ref="C221:E221"/>
    <mergeCell ref="C158:E158"/>
    <mergeCell ref="C170:E170"/>
    <mergeCell ref="L39:N39"/>
    <mergeCell ref="L51:N51"/>
    <mergeCell ref="L63:N63"/>
    <mergeCell ref="L11:N11"/>
    <mergeCell ref="L20:N20"/>
    <mergeCell ref="L119:N119"/>
    <mergeCell ref="L131:N131"/>
    <mergeCell ref="L143:N143"/>
    <mergeCell ref="L80:N80"/>
    <mergeCell ref="L92:N92"/>
    <mergeCell ref="L104:N104"/>
    <mergeCell ref="L197:N197"/>
    <mergeCell ref="L209:N209"/>
    <mergeCell ref="L221:N221"/>
    <mergeCell ref="L158:N158"/>
    <mergeCell ref="L170:N170"/>
    <mergeCell ref="L182:N182"/>
    <mergeCell ref="C9:I9"/>
    <mergeCell ref="C18:I18"/>
    <mergeCell ref="C92:E92"/>
    <mergeCell ref="C104:E104"/>
    <mergeCell ref="C37:K37"/>
  </mergeCells>
  <pageMargins left="0.23622047244094491" right="0.23622047244094491" top="0.74803149606299213" bottom="0.74803149606299213" header="0.31496062992125984" footer="0.31496062992125984"/>
  <pageSetup paperSize="9" orientation="landscape" r:id="rId1"/>
  <headerFooter>
    <oddFooter>&amp;LYG monitoring (pilot)&amp;R&amp;A\&amp;P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Worksheets</vt:lpstr>
      </vt:variant>
      <vt:variant>
        <vt:i4>12</vt:i4>
      </vt:variant>
      <vt:variant>
        <vt:lpstr>Named Ranges</vt:lpstr>
      </vt:variant>
      <vt:variant>
        <vt:i4>155</vt:i4>
      </vt:variant>
    </vt:vector>
  </HeadingPairs>
  <TitlesOfParts>
    <vt:vector size="167" baseType="lpstr">
      <vt:lpstr>Intro</vt:lpstr>
      <vt:lpstr>Definitions</vt:lpstr>
      <vt:lpstr>Entrants</vt:lpstr>
      <vt:lpstr>Stocks</vt:lpstr>
      <vt:lpstr>Exits</vt:lpstr>
      <vt:lpstr>Follow-up T</vt:lpstr>
      <vt:lpstr>Follow-up T-1</vt:lpstr>
      <vt:lpstr>Follow-up T-2</vt:lpstr>
      <vt:lpstr>Indicators</vt:lpstr>
      <vt:lpstr>Metadata T</vt:lpstr>
      <vt:lpstr>Metadata T-1</vt:lpstr>
      <vt:lpstr>Refs</vt:lpstr>
      <vt:lpstr>Countries</vt:lpstr>
      <vt:lpstr>Entrants_Men</vt:lpstr>
      <vt:lpstr>Entrants_Tot</vt:lpstr>
      <vt:lpstr>Entrants_Women</vt:lpstr>
      <vt:lpstr>Exits_4m_Men</vt:lpstr>
      <vt:lpstr>Exits_4m_Tot</vt:lpstr>
      <vt:lpstr>Exits_4m_Women</vt:lpstr>
      <vt:lpstr>Exits_Tot_Men</vt:lpstr>
      <vt:lpstr>Exits_Tot_Tot</vt:lpstr>
      <vt:lpstr>Exits_Tot_Women</vt:lpstr>
      <vt:lpstr>FUT_12_Appr_Men</vt:lpstr>
      <vt:lpstr>FUT_12_Appr_Tot</vt:lpstr>
      <vt:lpstr>FUT_12_Appr_Women</vt:lpstr>
      <vt:lpstr>FUT_12_Educ_Men</vt:lpstr>
      <vt:lpstr>FUT_12_Educ_Tot</vt:lpstr>
      <vt:lpstr>FUT_12_Educ_Women</vt:lpstr>
      <vt:lpstr>FUT_12_Emp_Men</vt:lpstr>
      <vt:lpstr>FUT_12_Emp_Tot</vt:lpstr>
      <vt:lpstr>FUT_12_Emp_Women</vt:lpstr>
      <vt:lpstr>FUT_12_Tot_Men</vt:lpstr>
      <vt:lpstr>FUT_12_Tot_Tot</vt:lpstr>
      <vt:lpstr>FUT_12_Tot_Women</vt:lpstr>
      <vt:lpstr>FUT_12_Train_Men</vt:lpstr>
      <vt:lpstr>FUT_12_Train_Tot</vt:lpstr>
      <vt:lpstr>FUT_12_Train_Women</vt:lpstr>
      <vt:lpstr>FUT_18_Appr_Men</vt:lpstr>
      <vt:lpstr>FUT_18_Appr_Tot</vt:lpstr>
      <vt:lpstr>FUT_18_Appr_Women</vt:lpstr>
      <vt:lpstr>FUT_18_Educ_Men</vt:lpstr>
      <vt:lpstr>FUT_18_Educ_Tot</vt:lpstr>
      <vt:lpstr>FUT_18_Educ_Women</vt:lpstr>
      <vt:lpstr>FUT_18_Emp_Men</vt:lpstr>
      <vt:lpstr>FUT_18_Emp_Tot</vt:lpstr>
      <vt:lpstr>FUT_18_Emp_Women</vt:lpstr>
      <vt:lpstr>FUT_18_Tot_Men</vt:lpstr>
      <vt:lpstr>FUT_18_Tot_Tot</vt:lpstr>
      <vt:lpstr>FUT_18_Tot_Women</vt:lpstr>
      <vt:lpstr>FUT_18_Train_Men</vt:lpstr>
      <vt:lpstr>FUT_18_Train_Tot</vt:lpstr>
      <vt:lpstr>FUT_18_Train_Women</vt:lpstr>
      <vt:lpstr>FUT_6_Appr_Men</vt:lpstr>
      <vt:lpstr>FUT_6_Appr_Tot</vt:lpstr>
      <vt:lpstr>FUT_6_Appr_Women</vt:lpstr>
      <vt:lpstr>FUT_6_Educ_Men</vt:lpstr>
      <vt:lpstr>FUT_6_Educ_Tot</vt:lpstr>
      <vt:lpstr>FUT_6_Educ_Women</vt:lpstr>
      <vt:lpstr>FUT_6_Emp_Men</vt:lpstr>
      <vt:lpstr>FUT_6_Emp_Tot</vt:lpstr>
      <vt:lpstr>FUT_6_Emp_Women</vt:lpstr>
      <vt:lpstr>FUT_6_Tot_Men</vt:lpstr>
      <vt:lpstr>FUT_6_Tot_Tot</vt:lpstr>
      <vt:lpstr>FUT_6_Tot_Women</vt:lpstr>
      <vt:lpstr>FUT_6_Train_Men</vt:lpstr>
      <vt:lpstr>FUT_6_Train_Tot</vt:lpstr>
      <vt:lpstr>FUT_6_Train_Women</vt:lpstr>
      <vt:lpstr>FUT1_12_Appr_Men</vt:lpstr>
      <vt:lpstr>FUT1_12_Appr_Tot</vt:lpstr>
      <vt:lpstr>FUT1_12_Appr_Women</vt:lpstr>
      <vt:lpstr>FUT1_12_Educ_Men</vt:lpstr>
      <vt:lpstr>FUT1_12_Educ_Tot</vt:lpstr>
      <vt:lpstr>FUT1_12_Educ_Women</vt:lpstr>
      <vt:lpstr>FUT1_12_Emp_Men</vt:lpstr>
      <vt:lpstr>FUT1_12_Emp_Tot</vt:lpstr>
      <vt:lpstr>FUT1_12_Emp_Women</vt:lpstr>
      <vt:lpstr>FUT1_12_Tot_Men</vt:lpstr>
      <vt:lpstr>FUT1_12_Tot_Tot</vt:lpstr>
      <vt:lpstr>FUT1_12_Tot_Women</vt:lpstr>
      <vt:lpstr>FUT1_12_Train_Men</vt:lpstr>
      <vt:lpstr>FUT1_12_Train_Tot</vt:lpstr>
      <vt:lpstr>FUT1_12_Train_Women</vt:lpstr>
      <vt:lpstr>FUT1_18_Appr_Men</vt:lpstr>
      <vt:lpstr>FUT1_18_Appr_Tot</vt:lpstr>
      <vt:lpstr>FUT1_18_Appr_Women</vt:lpstr>
      <vt:lpstr>FUT1_18_Educ_Men</vt:lpstr>
      <vt:lpstr>FUT1_18_Educ_Tot</vt:lpstr>
      <vt:lpstr>FUT1_18_Educ_Women</vt:lpstr>
      <vt:lpstr>FUT1_18_Emp_Men</vt:lpstr>
      <vt:lpstr>FUT1_18_Emp_Tot</vt:lpstr>
      <vt:lpstr>FUT1_18_Emp_Women</vt:lpstr>
      <vt:lpstr>FUT1_18_Tot_Men</vt:lpstr>
      <vt:lpstr>FUT1_18_Tot_Tot</vt:lpstr>
      <vt:lpstr>FUT1_18_Tot_Women</vt:lpstr>
      <vt:lpstr>FUT1_18_Train_Men</vt:lpstr>
      <vt:lpstr>FUT1_18_Train_Tot</vt:lpstr>
      <vt:lpstr>FUT1_18_Train_Women</vt:lpstr>
      <vt:lpstr>FUT1_6_Appr_Men</vt:lpstr>
      <vt:lpstr>FUT1_6_Appr_Tot</vt:lpstr>
      <vt:lpstr>FUT1_6_Appr_Women</vt:lpstr>
      <vt:lpstr>FUT1_6_Educ_Men</vt:lpstr>
      <vt:lpstr>FUT1_6_Educ_Tot</vt:lpstr>
      <vt:lpstr>FUT1_6_Educ_Women</vt:lpstr>
      <vt:lpstr>FUT1_6_Emp_Men</vt:lpstr>
      <vt:lpstr>FUT1_6_Emp_Tot</vt:lpstr>
      <vt:lpstr>FUT1_6_Emp_Women</vt:lpstr>
      <vt:lpstr>FUT1_6_Tot_Men</vt:lpstr>
      <vt:lpstr>FUT1_6_Tot_Tot</vt:lpstr>
      <vt:lpstr>FUT1_6_Tot_Women</vt:lpstr>
      <vt:lpstr>FUT1_6_Train_Men</vt:lpstr>
      <vt:lpstr>FUT1_6_Train_Tot</vt:lpstr>
      <vt:lpstr>FUT1_6_Train_Women</vt:lpstr>
      <vt:lpstr>FUT2_12_Appr_Men</vt:lpstr>
      <vt:lpstr>FUT2_12_Appr_Tot</vt:lpstr>
      <vt:lpstr>FUT2_12_Appr_Women</vt:lpstr>
      <vt:lpstr>FUT2_12_Educ_Men</vt:lpstr>
      <vt:lpstr>FUT2_12_Educ_Tot</vt:lpstr>
      <vt:lpstr>FUT2_12_Educ_Women</vt:lpstr>
      <vt:lpstr>FUT2_12_Emp_Men</vt:lpstr>
      <vt:lpstr>FUT2_12_Emp_Tot</vt:lpstr>
      <vt:lpstr>FUT2_12_Emp_Women</vt:lpstr>
      <vt:lpstr>FUT2_12_Tot_Men</vt:lpstr>
      <vt:lpstr>FUT2_12_Tot_Tot</vt:lpstr>
      <vt:lpstr>FUT2_12_Tot_Women</vt:lpstr>
      <vt:lpstr>FUT2_12_Train_Men</vt:lpstr>
      <vt:lpstr>FUT2_12_Train_Tot</vt:lpstr>
      <vt:lpstr>FUT2_12_Train_Women</vt:lpstr>
      <vt:lpstr>FUT2_18_Appr_Men</vt:lpstr>
      <vt:lpstr>FUT2_18_Appr_Tot</vt:lpstr>
      <vt:lpstr>FUT2_18_Appr_Women</vt:lpstr>
      <vt:lpstr>FUT2_18_Educ_Men</vt:lpstr>
      <vt:lpstr>FUT2_18_Educ_Tot</vt:lpstr>
      <vt:lpstr>FUT2_18_Educ_Women</vt:lpstr>
      <vt:lpstr>FUT2_18_Emp_Men</vt:lpstr>
      <vt:lpstr>FUT2_18_Emp_Tot</vt:lpstr>
      <vt:lpstr>FUT2_18_Emp_Women</vt:lpstr>
      <vt:lpstr>FUT2_18_Tot_Men</vt:lpstr>
      <vt:lpstr>FUT2_18_Tot_Tot</vt:lpstr>
      <vt:lpstr>FUT2_18_Tot_Women</vt:lpstr>
      <vt:lpstr>FUT2_18_Train_Men</vt:lpstr>
      <vt:lpstr>FUT2_18_Train_Tot</vt:lpstr>
      <vt:lpstr>FUT2_18_Train_Women</vt:lpstr>
      <vt:lpstr>FUT2_6_Appr_Men</vt:lpstr>
      <vt:lpstr>FUT2_6_Appr_Tot</vt:lpstr>
      <vt:lpstr>FUT2_6_Appr_Women</vt:lpstr>
      <vt:lpstr>FUT2_6_Educ_Men</vt:lpstr>
      <vt:lpstr>FUT2_6_Educ_Tot</vt:lpstr>
      <vt:lpstr>FUT2_6_Educ_Women</vt:lpstr>
      <vt:lpstr>FUT2_6_Emp_Men</vt:lpstr>
      <vt:lpstr>FUT2_6_Emp_Tot</vt:lpstr>
      <vt:lpstr>FUT2_6_Emp_Women</vt:lpstr>
      <vt:lpstr>FUT2_6_Tot_Men</vt:lpstr>
      <vt:lpstr>FUT2_6_Tot_Tot</vt:lpstr>
      <vt:lpstr>FUT2_6_Tot_Women</vt:lpstr>
      <vt:lpstr>FUT2_6_Train_Men</vt:lpstr>
      <vt:lpstr>FUT2_6_Train_Tot</vt:lpstr>
      <vt:lpstr>FUT2_6_Train_Women</vt:lpstr>
      <vt:lpstr>Metadata_T1</vt:lpstr>
      <vt:lpstr>Months</vt:lpstr>
      <vt:lpstr>Definitions!Print_Area</vt:lpstr>
      <vt:lpstr>'Follow-up T'!Print_Area</vt:lpstr>
      <vt:lpstr>Indicators!Print_Area</vt:lpstr>
      <vt:lpstr>Stocks!Print_Area</vt:lpstr>
      <vt:lpstr>Stock_Men</vt:lpstr>
      <vt:lpstr>Stock_Total</vt:lpstr>
      <vt:lpstr>Stock_Women</vt:lpstr>
      <vt:lpstr>Years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Andy Fuller</dc:creator>
  <cp:lastModifiedBy>mikon n</cp:lastModifiedBy>
  <cp:lastPrinted>2026-06-23T12:32:41Z</cp:lastPrinted>
  <dcterms:created xsi:type="dcterms:W3CDTF">2014-08-06T13:17:09Z</dcterms:created>
  <dcterms:modified xsi:type="dcterms:W3CDTF">2026-07-31T11:06:14Z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